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6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7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tables/table8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tables/table9.xml" ContentType="application/vnd.openxmlformats-officedocument.spreadsheetml.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tables/table10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tables/table11.xml" ContentType="application/vnd.openxmlformats-officedocument.spreadsheetml.tab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tables/table12.xml" ContentType="application/vnd.openxmlformats-officedocument.spreadsheetml.tab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tables/table13.xml" ContentType="application/vnd.openxmlformats-officedocument.spreadsheetml.tab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tables/table14.xml" ContentType="application/vnd.openxmlformats-officedocument.spreadsheetml.tab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tables/table15.xml" ContentType="application/vnd.openxmlformats-officedocument.spreadsheetml.tab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Finanzplanner\Business\Templates\"/>
    </mc:Choice>
  </mc:AlternateContent>
  <xr:revisionPtr revIDLastSave="0" documentId="13_ncr:1_{56045122-AA31-4EF4-AF5A-4CB536CCE3E3}" xr6:coauthVersionLast="47" xr6:coauthVersionMax="47" xr10:uidLastSave="{00000000-0000-0000-0000-000000000000}"/>
  <bookViews>
    <workbookView xWindow="-110" yWindow="-110" windowWidth="19420" windowHeight="11500" xr2:uid="{D8F1A9FD-8DF9-4EBB-827F-EC73746F0FB2}"/>
  </bookViews>
  <sheets>
    <sheet name="Explications" sheetId="40" r:id="rId1"/>
    <sheet name="Catégories" sheetId="2" r:id="rId2"/>
    <sheet name="Plan" sheetId="39" r:id="rId3"/>
    <sheet name="Vue d'ensemble" sheetId="38" r:id="rId4"/>
    <sheet name="Jan" sheetId="26" r:id="rId5"/>
    <sheet name="Fév" sheetId="41" r:id="rId6"/>
    <sheet name="Mar" sheetId="42" r:id="rId7"/>
    <sheet name="Avr" sheetId="43" r:id="rId8"/>
    <sheet name="Mai" sheetId="44" r:id="rId9"/>
    <sheet name="Juin" sheetId="45" r:id="rId10"/>
    <sheet name="Juil" sheetId="46" r:id="rId11"/>
    <sheet name="Aoû" sheetId="47" r:id="rId12"/>
    <sheet name="Sep" sheetId="48" r:id="rId13"/>
    <sheet name="Oct" sheetId="49" r:id="rId14"/>
    <sheet name="Nov" sheetId="50" r:id="rId15"/>
    <sheet name="Déc" sheetId="51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51" l="1"/>
  <c r="E14" i="50"/>
  <c r="E14" i="49"/>
  <c r="E14" i="48"/>
  <c r="E14" i="47"/>
  <c r="E14" i="46"/>
  <c r="E14" i="45"/>
  <c r="E14" i="44"/>
  <c r="E14" i="43"/>
  <c r="E14" i="42"/>
  <c r="E14" i="41"/>
  <c r="E14" i="26"/>
  <c r="E16" i="51"/>
  <c r="E16" i="50"/>
  <c r="E16" i="49"/>
  <c r="E16" i="48"/>
  <c r="E16" i="47"/>
  <c r="E16" i="46"/>
  <c r="E16" i="45"/>
  <c r="E16" i="44"/>
  <c r="E16" i="43"/>
  <c r="E16" i="42"/>
  <c r="E16" i="41"/>
  <c r="E16" i="26"/>
  <c r="E15" i="51"/>
  <c r="E15" i="50"/>
  <c r="E15" i="49"/>
  <c r="E15" i="48"/>
  <c r="E15" i="47"/>
  <c r="E15" i="46"/>
  <c r="E15" i="45"/>
  <c r="E15" i="44"/>
  <c r="E15" i="43"/>
  <c r="E15" i="42"/>
  <c r="E15" i="41"/>
  <c r="E15" i="26"/>
  <c r="E13" i="51"/>
  <c r="E13" i="50"/>
  <c r="E13" i="49"/>
  <c r="E13" i="48"/>
  <c r="E13" i="47"/>
  <c r="E13" i="46"/>
  <c r="E13" i="45"/>
  <c r="E13" i="44"/>
  <c r="E13" i="43"/>
  <c r="E13" i="42"/>
  <c r="E13" i="41"/>
  <c r="E13" i="26"/>
  <c r="E12" i="51"/>
  <c r="E12" i="50"/>
  <c r="E12" i="49"/>
  <c r="E12" i="48"/>
  <c r="E12" i="47"/>
  <c r="E12" i="46"/>
  <c r="E12" i="45"/>
  <c r="E12" i="44"/>
  <c r="E12" i="43"/>
  <c r="E12" i="42"/>
  <c r="E12" i="41"/>
  <c r="E12" i="26"/>
  <c r="E10" i="51"/>
  <c r="E10" i="50"/>
  <c r="E10" i="49"/>
  <c r="E10" i="48"/>
  <c r="E10" i="47"/>
  <c r="E10" i="46"/>
  <c r="E10" i="45"/>
  <c r="E10" i="44"/>
  <c r="E10" i="43"/>
  <c r="E10" i="42"/>
  <c r="E10" i="41"/>
  <c r="E10" i="26"/>
  <c r="E8" i="51"/>
  <c r="E8" i="50"/>
  <c r="E8" i="49"/>
  <c r="E8" i="48"/>
  <c r="E8" i="47"/>
  <c r="E8" i="46"/>
  <c r="E8" i="45"/>
  <c r="E8" i="44"/>
  <c r="E8" i="43"/>
  <c r="E8" i="42"/>
  <c r="E8" i="41"/>
  <c r="E8" i="26"/>
  <c r="E7" i="51"/>
  <c r="E7" i="50"/>
  <c r="E7" i="49"/>
  <c r="E7" i="48"/>
  <c r="E7" i="47"/>
  <c r="E7" i="46"/>
  <c r="E7" i="45"/>
  <c r="E7" i="44"/>
  <c r="E7" i="43"/>
  <c r="E7" i="42"/>
  <c r="E7" i="41"/>
  <c r="E7" i="26"/>
  <c r="E6" i="51"/>
  <c r="E6" i="50"/>
  <c r="E6" i="49"/>
  <c r="E6" i="48"/>
  <c r="E6" i="47"/>
  <c r="E6" i="46"/>
  <c r="E6" i="45"/>
  <c r="E6" i="44"/>
  <c r="E6" i="43"/>
  <c r="E6" i="42"/>
  <c r="E6" i="41"/>
  <c r="E6" i="26"/>
  <c r="E5" i="51"/>
  <c r="E5" i="50"/>
  <c r="E5" i="49"/>
  <c r="E5" i="48"/>
  <c r="E5" i="47"/>
  <c r="E5" i="46"/>
  <c r="E5" i="45"/>
  <c r="E5" i="44"/>
  <c r="E5" i="43"/>
  <c r="E5" i="42"/>
  <c r="E5" i="41"/>
  <c r="E5" i="26"/>
  <c r="E4" i="51"/>
  <c r="E4" i="50"/>
  <c r="E4" i="49"/>
  <c r="E4" i="48"/>
  <c r="E4" i="47"/>
  <c r="E4" i="46"/>
  <c r="E4" i="45"/>
  <c r="E4" i="44"/>
  <c r="E4" i="43"/>
  <c r="E4" i="42"/>
  <c r="E4" i="41"/>
  <c r="E4" i="26"/>
  <c r="E11" i="51"/>
  <c r="E11" i="50"/>
  <c r="E11" i="49"/>
  <c r="E11" i="48"/>
  <c r="E11" i="47"/>
  <c r="E11" i="46"/>
  <c r="E11" i="45"/>
  <c r="E11" i="44"/>
  <c r="E11" i="43"/>
  <c r="E11" i="42"/>
  <c r="E11" i="41"/>
  <c r="E11" i="26"/>
  <c r="B14" i="38" l="1"/>
  <c r="B5" i="38"/>
  <c r="C5" i="38"/>
  <c r="D5" i="38"/>
  <c r="C32" i="38"/>
  <c r="C31" i="38"/>
  <c r="C30" i="38"/>
  <c r="C29" i="38"/>
  <c r="C28" i="38"/>
  <c r="C27" i="38"/>
  <c r="C25" i="38"/>
  <c r="C24" i="38"/>
  <c r="C23" i="38"/>
  <c r="D23" i="38" s="1"/>
  <c r="C22" i="38"/>
  <c r="D22" i="38" s="1"/>
  <c r="D25" i="38"/>
  <c r="B32" i="38"/>
  <c r="B31" i="38"/>
  <c r="B30" i="38"/>
  <c r="B29" i="38"/>
  <c r="B28" i="38"/>
  <c r="B27" i="38"/>
  <c r="B25" i="38"/>
  <c r="B24" i="38"/>
  <c r="B23" i="38"/>
  <c r="B22" i="38"/>
  <c r="D31" i="38"/>
  <c r="D28" i="38"/>
  <c r="D24" i="38"/>
  <c r="L14" i="38"/>
  <c r="L13" i="38"/>
  <c r="L12" i="38"/>
  <c r="L11" i="38"/>
  <c r="L10" i="38"/>
  <c r="L9" i="38"/>
  <c r="L7" i="38"/>
  <c r="L6" i="38"/>
  <c r="L5" i="38"/>
  <c r="L4" i="38"/>
  <c r="K14" i="38"/>
  <c r="K13" i="38"/>
  <c r="K12" i="38"/>
  <c r="K11" i="38"/>
  <c r="K10" i="38"/>
  <c r="K9" i="38"/>
  <c r="K7" i="38"/>
  <c r="K6" i="38"/>
  <c r="K5" i="38"/>
  <c r="K4" i="38"/>
  <c r="J14" i="38"/>
  <c r="J13" i="38"/>
  <c r="J12" i="38"/>
  <c r="J11" i="38"/>
  <c r="J10" i="38"/>
  <c r="J9" i="38"/>
  <c r="J7" i="38"/>
  <c r="J6" i="38"/>
  <c r="J5" i="38"/>
  <c r="J4" i="38"/>
  <c r="I14" i="38"/>
  <c r="I13" i="38"/>
  <c r="I12" i="38"/>
  <c r="I11" i="38"/>
  <c r="I10" i="38"/>
  <c r="I9" i="38"/>
  <c r="I7" i="38"/>
  <c r="I6" i="38"/>
  <c r="I5" i="38"/>
  <c r="I4" i="38"/>
  <c r="H14" i="38"/>
  <c r="H13" i="38"/>
  <c r="H12" i="38"/>
  <c r="H11" i="38"/>
  <c r="H10" i="38"/>
  <c r="H9" i="38"/>
  <c r="H7" i="38"/>
  <c r="H6" i="38"/>
  <c r="H5" i="38"/>
  <c r="H4" i="38"/>
  <c r="G14" i="38"/>
  <c r="G13" i="38"/>
  <c r="G12" i="38"/>
  <c r="G11" i="38"/>
  <c r="G10" i="38"/>
  <c r="G9" i="38"/>
  <c r="G7" i="38"/>
  <c r="G6" i="38"/>
  <c r="G5" i="38"/>
  <c r="F14" i="38"/>
  <c r="F13" i="38"/>
  <c r="F12" i="38"/>
  <c r="F11" i="38"/>
  <c r="F10" i="38"/>
  <c r="F9" i="38"/>
  <c r="F7" i="38"/>
  <c r="F6" i="38"/>
  <c r="F5" i="38"/>
  <c r="F4" i="38"/>
  <c r="E14" i="38"/>
  <c r="E13" i="38"/>
  <c r="E12" i="38"/>
  <c r="E11" i="38"/>
  <c r="E10" i="38"/>
  <c r="E9" i="38"/>
  <c r="E7" i="38"/>
  <c r="E6" i="38"/>
  <c r="E5" i="38"/>
  <c r="E4" i="38"/>
  <c r="D14" i="38"/>
  <c r="D13" i="38"/>
  <c r="D12" i="38"/>
  <c r="D11" i="38"/>
  <c r="D10" i="38"/>
  <c r="D9" i="38"/>
  <c r="D7" i="38"/>
  <c r="D6" i="38"/>
  <c r="D4" i="38"/>
  <c r="C14" i="38"/>
  <c r="C13" i="38"/>
  <c r="C12" i="38"/>
  <c r="C11" i="38"/>
  <c r="C10" i="38"/>
  <c r="C9" i="38"/>
  <c r="C7" i="38"/>
  <c r="C6" i="38"/>
  <c r="C4" i="38"/>
  <c r="B13" i="38"/>
  <c r="B12" i="38"/>
  <c r="B11" i="38"/>
  <c r="B10" i="38"/>
  <c r="B9" i="38"/>
  <c r="B7" i="38"/>
  <c r="B6" i="38"/>
  <c r="B4" i="38"/>
  <c r="E9" i="51"/>
  <c r="E9" i="50"/>
  <c r="E9" i="49"/>
  <c r="E9" i="48"/>
  <c r="E9" i="47"/>
  <c r="E9" i="46"/>
  <c r="L8" i="38"/>
  <c r="K8" i="38"/>
  <c r="C26" i="38"/>
  <c r="J8" i="38"/>
  <c r="I8" i="38"/>
  <c r="B26" i="38"/>
  <c r="H8" i="38"/>
  <c r="E9" i="45"/>
  <c r="G8" i="38" s="1"/>
  <c r="F8" i="38"/>
  <c r="E8" i="38"/>
  <c r="D8" i="38"/>
  <c r="C8" i="38"/>
  <c r="B8" i="38"/>
  <c r="E9" i="44"/>
  <c r="E9" i="43"/>
  <c r="E9" i="42"/>
  <c r="E9" i="41"/>
  <c r="G4" i="38" s="1"/>
  <c r="L3" i="38"/>
  <c r="K3" i="38"/>
  <c r="C21" i="38"/>
  <c r="J3" i="38"/>
  <c r="I3" i="38"/>
  <c r="B21" i="38"/>
  <c r="H3" i="38"/>
  <c r="E9" i="26"/>
  <c r="G3" i="38" s="1"/>
  <c r="F3" i="38"/>
  <c r="E3" i="38"/>
  <c r="D3" i="38"/>
  <c r="C3" i="38"/>
  <c r="B3" i="38"/>
  <c r="C15" i="39"/>
  <c r="B15" i="39"/>
  <c r="D30" i="38" l="1"/>
  <c r="D29" i="38"/>
  <c r="M3" i="38"/>
  <c r="D21" i="38"/>
  <c r="D32" i="38"/>
  <c r="C33" i="38"/>
  <c r="C34" i="38"/>
  <c r="D26" i="38"/>
  <c r="D27" i="38"/>
  <c r="B33" i="38"/>
  <c r="B34" i="38"/>
  <c r="L15" i="38"/>
  <c r="L16" i="38"/>
  <c r="K16" i="38"/>
  <c r="K15" i="38"/>
  <c r="J16" i="38"/>
  <c r="J15" i="38"/>
  <c r="M6" i="38"/>
  <c r="I16" i="38"/>
  <c r="I15" i="38"/>
  <c r="H15" i="38"/>
  <c r="H16" i="38"/>
  <c r="M11" i="38"/>
  <c r="G15" i="38"/>
  <c r="M12" i="38"/>
  <c r="F16" i="38"/>
  <c r="M4" i="38"/>
  <c r="M14" i="38"/>
  <c r="E16" i="38"/>
  <c r="M5" i="38"/>
  <c r="M7" i="38"/>
  <c r="M9" i="38"/>
  <c r="M13" i="38"/>
  <c r="D15" i="38"/>
  <c r="D16" i="38"/>
  <c r="M8" i="38"/>
  <c r="M10" i="38"/>
  <c r="C15" i="38"/>
  <c r="C16" i="38"/>
  <c r="B16" i="38"/>
  <c r="B15" i="38"/>
  <c r="G16" i="38"/>
  <c r="F15" i="38"/>
  <c r="E15" i="38"/>
  <c r="D16" i="39"/>
  <c r="D33" i="38" l="1"/>
  <c r="D34" i="38"/>
  <c r="M15" i="38"/>
  <c r="M16" i="38" s="1"/>
</calcChain>
</file>

<file path=xl/sharedStrings.xml><?xml version="1.0" encoding="utf-8"?>
<sst xmlns="http://schemas.openxmlformats.org/spreadsheetml/2006/main" count="329" uniqueCount="61">
  <si>
    <t>Internet</t>
  </si>
  <si>
    <t xml:space="preserve">Plan: </t>
  </si>
  <si>
    <t>Mai</t>
  </si>
  <si>
    <t>Sport</t>
  </si>
  <si>
    <t>DÉPENSES</t>
  </si>
  <si>
    <t>REVENUS</t>
  </si>
  <si>
    <t>Mois</t>
  </si>
  <si>
    <t>Autres revenus</t>
  </si>
  <si>
    <t>Restaurants/Cafés</t>
  </si>
  <si>
    <t>Loisirs</t>
  </si>
  <si>
    <t xml:space="preserve">Loisirs </t>
  </si>
  <si>
    <t>Cadeaux</t>
  </si>
  <si>
    <t>Alimentation</t>
  </si>
  <si>
    <t>Assurances</t>
  </si>
  <si>
    <t>Autres dépenses</t>
  </si>
  <si>
    <t>Téléphone</t>
  </si>
  <si>
    <t>Loyer</t>
  </si>
  <si>
    <t>Épargne</t>
  </si>
  <si>
    <t>Achats</t>
  </si>
  <si>
    <t>Total</t>
  </si>
  <si>
    <t>Totalme</t>
  </si>
  <si>
    <t>Moyenne</t>
  </si>
  <si>
    <t>Salaire</t>
  </si>
  <si>
    <t>Janvier</t>
  </si>
  <si>
    <t>Février</t>
  </si>
  <si>
    <t>Mars</t>
  </si>
  <si>
    <t>Avril</t>
  </si>
  <si>
    <t>Juin</t>
  </si>
  <si>
    <t>Juillet</t>
  </si>
  <si>
    <t>Août</t>
  </si>
  <si>
    <t>Septembre</t>
  </si>
  <si>
    <t>Octobre</t>
  </si>
  <si>
    <t>Novembre</t>
  </si>
  <si>
    <t>Décembre</t>
  </si>
  <si>
    <t xml:space="preserve">Catégories: </t>
  </si>
  <si>
    <t>Définissez les catégories de vos revenus et dépenses mensuels. Vous trouverez des exemples.</t>
  </si>
  <si>
    <t>Indiquez combien vous souhaitez dépenser, gagner et épargner chaque mois. Les champs « Total » et « Total général » sont calculés automatiquement.</t>
  </si>
  <si>
    <t>Vue d'ensemble:</t>
  </si>
  <si>
    <t>Saisissez ici ce que vous avez réellement dépensé ou gagné chaque mois dans chaque catégorie. Les champs « Total » et « Moyenne » sont calculés automatiquement.</t>
  </si>
  <si>
    <t xml:space="preserve">Onglets mensuels: </t>
  </si>
  <si>
    <t>Saisissez chaque transaction effectuée au cours du mois (1. sélectionner une catégorie 2. saisir un montant 3. ajouter un commentaire si vous le souhaitez).</t>
  </si>
  <si>
    <t>ATTENTION ! Les dépenses doivent être saisies avec un signe moins afin que les calculs soient corrects.</t>
  </si>
  <si>
    <t>À côté du tableau, vos transactions sont automatiquement récapitulées.</t>
  </si>
  <si>
    <t>À droite, vous trouverez un graphique qui se met automatiquement à jour en fonction des transactions saisies.</t>
  </si>
  <si>
    <t>Catégories</t>
  </si>
  <si>
    <t>(cinéma, escape game, festivals, bowling, ...) → peut également être combiné avec Restaurants/Cafés</t>
  </si>
  <si>
    <t>(Chaussures, vêtements, maquillage, articles ménagers, ...)</t>
  </si>
  <si>
    <t>Autres catégories possibles:</t>
  </si>
  <si>
    <t>Cartes de crédit</t>
  </si>
  <si>
    <t>Santé</t>
  </si>
  <si>
    <t>Voyages</t>
  </si>
  <si>
    <t>(thérapie, massage, manucure, coiffure, ...)</t>
  </si>
  <si>
    <t>Bien-être</t>
  </si>
  <si>
    <t>(cours de langues, université, cours de musique, ...)</t>
  </si>
  <si>
    <t xml:space="preserve">Formation </t>
  </si>
  <si>
    <t>Catégorie</t>
  </si>
  <si>
    <t>Revenus prévus</t>
  </si>
  <si>
    <t>Dépenses prévues</t>
  </si>
  <si>
    <t>Solde prévu</t>
  </si>
  <si>
    <t>Montant</t>
  </si>
  <si>
    <t>Commentaire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</si>
</sst>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&quot;€&quot;\ 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9">
    <xf numFmtId="0" fontId="0" fillId="0" borderId="0" xfId="0"/>
    <xf numFmtId="0" fontId="5" fillId="0" borderId="0" xfId="0" applyFont="1"/>
    <xf numFmtId="0" fontId="0" fillId="0" borderId="0" xfId="0" applyAlignment="1"/>
    <xf numFmtId="0" fontId="0" fillId="6" borderId="0" xfId="0" applyFill="1"/>
    <xf numFmtId="0" fontId="7" fillId="6" borderId="1" xfId="2" applyFill="1" applyBorder="1"/>
    <xf numFmtId="0" fontId="7" fillId="0" borderId="1" xfId="2" applyBorder="1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5" fillId="0" borderId="1" xfId="0" applyFont="1" applyBorder="1" applyProtection="1">
      <protection locked="0"/>
    </xf>
    <xf numFmtId="164" fontId="5" fillId="0" borderId="1" xfId="1" applyFont="1" applyBorder="1" applyProtection="1">
      <protection locked="0"/>
    </xf>
    <xf numFmtId="0" fontId="1" fillId="0" borderId="0" xfId="0" applyFont="1" applyProtection="1">
      <protection locked="0"/>
    </xf>
    <xf numFmtId="164" fontId="1" fillId="0" borderId="0" xfId="0" applyNumberFormat="1" applyFont="1" applyProtection="1">
      <protection locked="0"/>
    </xf>
    <xf numFmtId="164" fontId="0" fillId="0" borderId="1" xfId="0" applyNumberFormat="1" applyBorder="1" applyProtection="1"/>
    <xf numFmtId="164" fontId="0" fillId="2" borderId="7" xfId="0" applyNumberFormat="1" applyFill="1" applyBorder="1" applyProtection="1"/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165" fontId="0" fillId="0" borderId="0" xfId="0" applyNumberFormat="1" applyProtection="1">
      <protection locked="0"/>
    </xf>
    <xf numFmtId="0" fontId="4" fillId="0" borderId="0" xfId="0" applyFont="1" applyProtection="1">
      <protection locked="0"/>
    </xf>
    <xf numFmtId="0" fontId="0" fillId="0" borderId="0" xfId="0" applyFill="1" applyProtection="1">
      <protection locked="0"/>
    </xf>
    <xf numFmtId="165" fontId="1" fillId="0" borderId="0" xfId="0" applyNumberFormat="1" applyFont="1" applyProtection="1">
      <protection locked="0"/>
    </xf>
    <xf numFmtId="0" fontId="0" fillId="0" borderId="4" xfId="0" applyBorder="1" applyProtection="1"/>
    <xf numFmtId="165" fontId="0" fillId="0" borderId="1" xfId="1" applyNumberFormat="1" applyFont="1" applyBorder="1" applyProtection="1"/>
    <xf numFmtId="165" fontId="0" fillId="0" borderId="3" xfId="0" applyNumberFormat="1" applyBorder="1" applyProtection="1"/>
    <xf numFmtId="0" fontId="0" fillId="0" borderId="5" xfId="0" applyBorder="1" applyProtection="1"/>
    <xf numFmtId="0" fontId="1" fillId="3" borderId="5" xfId="0" applyFont="1" applyFill="1" applyBorder="1" applyProtection="1"/>
    <xf numFmtId="165" fontId="1" fillId="3" borderId="6" xfId="0" applyNumberFormat="1" applyFont="1" applyFill="1" applyBorder="1" applyProtection="1"/>
    <xf numFmtId="165" fontId="0" fillId="3" borderId="3" xfId="0" applyNumberFormat="1" applyFill="1" applyBorder="1" applyProtection="1"/>
    <xf numFmtId="0" fontId="1" fillId="2" borderId="5" xfId="0" applyFont="1" applyFill="1" applyBorder="1" applyProtection="1"/>
    <xf numFmtId="165" fontId="0" fillId="2" borderId="6" xfId="0" applyNumberFormat="1" applyFill="1" applyBorder="1" applyProtection="1"/>
    <xf numFmtId="164" fontId="0" fillId="0" borderId="0" xfId="1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164" fontId="0" fillId="5" borderId="0" xfId="1" applyFont="1" applyFill="1" applyAlignment="1" applyProtection="1">
      <alignment horizontal="center"/>
      <protection locked="0"/>
    </xf>
    <xf numFmtId="165" fontId="0" fillId="0" borderId="0" xfId="0" applyNumberFormat="1" applyProtection="1"/>
    <xf numFmtId="0" fontId="0" fillId="0" borderId="1" xfId="0" applyBorder="1" applyAlignment="1">
      <alignment horizontal="left"/>
    </xf>
    <xf numFmtId="0" fontId="7" fillId="6" borderId="6" xfId="2" applyFill="1" applyBorder="1" applyAlignment="1">
      <alignment horizontal="left" vertical="center"/>
    </xf>
    <xf numFmtId="0" fontId="7" fillId="6" borderId="8" xfId="2" applyFill="1" applyBorder="1" applyAlignment="1">
      <alignment horizontal="left" vertical="center"/>
    </xf>
    <xf numFmtId="0" fontId="7" fillId="6" borderId="3" xfId="2" applyFill="1" applyBorder="1" applyAlignment="1">
      <alignment horizontal="left" vertical="center"/>
    </xf>
    <xf numFmtId="0" fontId="0" fillId="6" borderId="1" xfId="0" applyFill="1" applyBorder="1" applyAlignment="1">
      <alignment horizontal="left"/>
    </xf>
    <xf numFmtId="0" fontId="6" fillId="4" borderId="0" xfId="0" applyFont="1" applyFill="1" applyAlignment="1" applyProtection="1">
      <alignment horizontal="center"/>
      <protection locked="0"/>
    </xf>
  </cellXfs>
  <cellStyles count="3">
    <cellStyle name="Link" xfId="2" builtinId="8"/>
    <cellStyle name="Standard" xfId="0" builtinId="0"/>
    <cellStyle name="Währung" xfId="1" builtinId="4"/>
  </cellStyles>
  <dxfs count="87"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165" formatCode="&quot;€&quot;\ 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65" formatCode="&quot;€&quot;\ 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65" formatCode="&quot;€&quot;\ 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protection locked="1" hidden="0"/>
    </dxf>
    <dxf>
      <border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numFmt numFmtId="165" formatCode="&quot;€&quot;\ 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65" formatCode="&quot;€&quot;\ 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65" formatCode="&quot;€&quot;\ 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65" formatCode="&quot;€&quot;\ 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65" formatCode="&quot;€&quot;\ 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65" formatCode="&quot;€&quot;\ 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65" formatCode="&quot;€&quot;\ 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65" formatCode="&quot;€&quot;\ 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65" formatCode="&quot;€&quot;\ 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65" formatCode="&quot;€&quot;\ 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65" formatCode="&quot;€&quot;\ 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65" formatCode="&quot;€&quot;\ 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protection locked="1" hidden="0"/>
    </dxf>
    <dxf>
      <border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</dxfs>
  <tableStyles count="0" defaultTableStyle="TableStyleMedium2" defaultPivotStyle="PivotStyleLight16"/>
  <colors>
    <mruColors>
      <color rgb="FF9966FF"/>
      <color rgb="FFCC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Jan!$E$3</c:f>
              <c:strCache>
                <c:ptCount val="1"/>
                <c:pt idx="0">
                  <c:v>Montant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1704461427348319E-2"/>
                  <c:y val="-0.173333070866141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22-451D-BA05-31D3F1E44BF7}"/>
                </c:ext>
              </c:extLst>
            </c:dLbl>
            <c:dLbl>
              <c:idx val="1"/>
              <c:layout>
                <c:manualLayout>
                  <c:x val="-1.3655204998573039E-2"/>
                  <c:y val="-0.20999973753280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22-451D-BA05-31D3F1E44BF7}"/>
                </c:ext>
              </c:extLst>
            </c:dLbl>
            <c:dLbl>
              <c:idx val="2"/>
              <c:layout>
                <c:manualLayout>
                  <c:x val="-7.8029742848988795E-3"/>
                  <c:y val="-9.99997375328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22-451D-BA05-31D3F1E44BF7}"/>
                </c:ext>
              </c:extLst>
            </c:dLbl>
            <c:dLbl>
              <c:idx val="3"/>
              <c:layout>
                <c:manualLayout>
                  <c:x val="-7.8029742848988795E-3"/>
                  <c:y val="-0.20666640419947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22-451D-BA05-31D3F1E44BF7}"/>
                </c:ext>
              </c:extLst>
            </c:dLbl>
            <c:dLbl>
              <c:idx val="4"/>
              <c:layout>
                <c:manualLayout>
                  <c:x val="-7.8029742848988795E-3"/>
                  <c:y val="-0.189999737532808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22-451D-BA05-31D3F1E44BF7}"/>
                </c:ext>
              </c:extLst>
            </c:dLbl>
            <c:dLbl>
              <c:idx val="5"/>
              <c:layout>
                <c:manualLayout>
                  <c:x val="3.9014871424494398E-3"/>
                  <c:y val="-0.173333070866141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22-451D-BA05-31D3F1E44B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Jan!$D$4:$D$16</c:f>
              <c:strCache>
                <c:ptCount val="13"/>
                <c:pt idx="0">
                  <c:v>Restaurants/Cafés</c:v>
                </c:pt>
                <c:pt idx="1">
                  <c:v>Loisirs </c:v>
                </c:pt>
                <c:pt idx="2">
                  <c:v>Cadeaux</c:v>
                </c:pt>
                <c:pt idx="3">
                  <c:v>Alimentation</c:v>
                </c:pt>
                <c:pt idx="4">
                  <c:v>Assurances</c:v>
                </c:pt>
                <c:pt idx="5">
                  <c:v>Internet</c:v>
                </c:pt>
                <c:pt idx="6">
                  <c:v>Autres dépenses</c:v>
                </c:pt>
                <c:pt idx="7">
                  <c:v>Autres revenus</c:v>
                </c:pt>
                <c:pt idx="8">
                  <c:v>Téléphone</c:v>
                </c:pt>
                <c:pt idx="9">
                  <c:v>Loyer</c:v>
                </c:pt>
                <c:pt idx="10">
                  <c:v>Salaire</c:v>
                </c:pt>
                <c:pt idx="11">
                  <c:v>Épargne</c:v>
                </c:pt>
                <c:pt idx="12">
                  <c:v>Achats</c:v>
                </c:pt>
              </c:strCache>
            </c:strRef>
          </c:cat>
          <c:val>
            <c:numRef>
              <c:f>Jan!$E$4:$E$16</c:f>
              <c:numCache>
                <c:formatCode>"€"\ #,##0.00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22-451D-BA05-31D3F1E44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0475736"/>
        <c:axId val="450480328"/>
      </c:barChart>
      <c:catAx>
        <c:axId val="450475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0480328"/>
        <c:crosses val="autoZero"/>
        <c:auto val="1"/>
        <c:lblAlgn val="ctr"/>
        <c:lblOffset val="100"/>
        <c:noMultiLvlLbl val="0"/>
      </c:catAx>
      <c:valAx>
        <c:axId val="450480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0475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Oct!$E$3</c:f>
              <c:strCache>
                <c:ptCount val="1"/>
                <c:pt idx="0">
                  <c:v>Montant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1704461427348319E-2"/>
                  <c:y val="-0.173333070866141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9D-46A9-B9F9-B4277970B07C}"/>
                </c:ext>
              </c:extLst>
            </c:dLbl>
            <c:dLbl>
              <c:idx val="1"/>
              <c:layout>
                <c:manualLayout>
                  <c:x val="-1.3655204998573039E-2"/>
                  <c:y val="-0.20999973753280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9D-46A9-B9F9-B4277970B07C}"/>
                </c:ext>
              </c:extLst>
            </c:dLbl>
            <c:dLbl>
              <c:idx val="2"/>
              <c:layout>
                <c:manualLayout>
                  <c:x val="-7.8029742848988795E-3"/>
                  <c:y val="-9.99997375328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9D-46A9-B9F9-B4277970B07C}"/>
                </c:ext>
              </c:extLst>
            </c:dLbl>
            <c:dLbl>
              <c:idx val="3"/>
              <c:layout>
                <c:manualLayout>
                  <c:x val="-7.8029742848988795E-3"/>
                  <c:y val="-0.20666640419947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9D-46A9-B9F9-B4277970B07C}"/>
                </c:ext>
              </c:extLst>
            </c:dLbl>
            <c:dLbl>
              <c:idx val="4"/>
              <c:layout>
                <c:manualLayout>
                  <c:x val="-7.8029742848988795E-3"/>
                  <c:y val="-0.189999737532808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9D-46A9-B9F9-B4277970B07C}"/>
                </c:ext>
              </c:extLst>
            </c:dLbl>
            <c:dLbl>
              <c:idx val="5"/>
              <c:layout>
                <c:manualLayout>
                  <c:x val="3.9014871424494398E-3"/>
                  <c:y val="-0.173333070866141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9D-46A9-B9F9-B4277970B0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Oct!$D$4:$D$16</c:f>
              <c:strCache>
                <c:ptCount val="13"/>
                <c:pt idx="0">
                  <c:v>Restaurants/Cafés</c:v>
                </c:pt>
                <c:pt idx="1">
                  <c:v>Loisirs </c:v>
                </c:pt>
                <c:pt idx="2">
                  <c:v>Cadeaux</c:v>
                </c:pt>
                <c:pt idx="3">
                  <c:v>Alimentation</c:v>
                </c:pt>
                <c:pt idx="4">
                  <c:v>Assurances</c:v>
                </c:pt>
                <c:pt idx="5">
                  <c:v>Internet</c:v>
                </c:pt>
                <c:pt idx="6">
                  <c:v>Autres dépenses</c:v>
                </c:pt>
                <c:pt idx="7">
                  <c:v>Autres revenus</c:v>
                </c:pt>
                <c:pt idx="8">
                  <c:v>Téléphone</c:v>
                </c:pt>
                <c:pt idx="9">
                  <c:v>Loyer</c:v>
                </c:pt>
                <c:pt idx="10">
                  <c:v>Salaire</c:v>
                </c:pt>
                <c:pt idx="11">
                  <c:v>Épargne</c:v>
                </c:pt>
                <c:pt idx="12">
                  <c:v>Achats</c:v>
                </c:pt>
              </c:strCache>
            </c:strRef>
          </c:cat>
          <c:val>
            <c:numRef>
              <c:f>Oct!$E$4:$E$16</c:f>
              <c:numCache>
                <c:formatCode>"€"\ #,##0.00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49D-46A9-B9F9-B4277970B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0475736"/>
        <c:axId val="450480328"/>
      </c:barChart>
      <c:catAx>
        <c:axId val="450475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0480328"/>
        <c:crosses val="autoZero"/>
        <c:auto val="1"/>
        <c:lblAlgn val="ctr"/>
        <c:lblOffset val="100"/>
        <c:noMultiLvlLbl val="0"/>
      </c:catAx>
      <c:valAx>
        <c:axId val="450480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0475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Nov!$E$3</c:f>
              <c:strCache>
                <c:ptCount val="1"/>
                <c:pt idx="0">
                  <c:v>Montant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1704461427348319E-2"/>
                  <c:y val="-0.173333070866141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A4-4E1F-A505-FABE39726AA3}"/>
                </c:ext>
              </c:extLst>
            </c:dLbl>
            <c:dLbl>
              <c:idx val="1"/>
              <c:layout>
                <c:manualLayout>
                  <c:x val="-1.3655204998573039E-2"/>
                  <c:y val="-0.20999973753280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A4-4E1F-A505-FABE39726AA3}"/>
                </c:ext>
              </c:extLst>
            </c:dLbl>
            <c:dLbl>
              <c:idx val="2"/>
              <c:layout>
                <c:manualLayout>
                  <c:x val="-7.8029742848988795E-3"/>
                  <c:y val="-9.99997375328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A4-4E1F-A505-FABE39726AA3}"/>
                </c:ext>
              </c:extLst>
            </c:dLbl>
            <c:dLbl>
              <c:idx val="3"/>
              <c:layout>
                <c:manualLayout>
                  <c:x val="-7.8029742848988795E-3"/>
                  <c:y val="-0.20666640419947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A4-4E1F-A505-FABE39726AA3}"/>
                </c:ext>
              </c:extLst>
            </c:dLbl>
            <c:dLbl>
              <c:idx val="4"/>
              <c:layout>
                <c:manualLayout>
                  <c:x val="-7.8029742848988795E-3"/>
                  <c:y val="-0.189999737532808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A4-4E1F-A505-FABE39726AA3}"/>
                </c:ext>
              </c:extLst>
            </c:dLbl>
            <c:dLbl>
              <c:idx val="5"/>
              <c:layout>
                <c:manualLayout>
                  <c:x val="3.9014871424494398E-3"/>
                  <c:y val="-0.173333070866141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A4-4E1F-A505-FABE39726A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Nov!$D$4:$D$16</c:f>
              <c:strCache>
                <c:ptCount val="13"/>
                <c:pt idx="0">
                  <c:v>Restaurants/Cafés</c:v>
                </c:pt>
                <c:pt idx="1">
                  <c:v>Loisirs </c:v>
                </c:pt>
                <c:pt idx="2">
                  <c:v>Cadeaux</c:v>
                </c:pt>
                <c:pt idx="3">
                  <c:v>Alimentation</c:v>
                </c:pt>
                <c:pt idx="4">
                  <c:v>Assurances</c:v>
                </c:pt>
                <c:pt idx="5">
                  <c:v>Internet</c:v>
                </c:pt>
                <c:pt idx="6">
                  <c:v>Autres dépenses</c:v>
                </c:pt>
                <c:pt idx="7">
                  <c:v>Autres revenus</c:v>
                </c:pt>
                <c:pt idx="8">
                  <c:v>Téléphone</c:v>
                </c:pt>
                <c:pt idx="9">
                  <c:v>Loyer</c:v>
                </c:pt>
                <c:pt idx="10">
                  <c:v>Salaire</c:v>
                </c:pt>
                <c:pt idx="11">
                  <c:v>Épargne</c:v>
                </c:pt>
                <c:pt idx="12">
                  <c:v>Achats</c:v>
                </c:pt>
              </c:strCache>
            </c:strRef>
          </c:cat>
          <c:val>
            <c:numRef>
              <c:f>Nov!$E$4:$E$16</c:f>
              <c:numCache>
                <c:formatCode>"€"\ #,##0.00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9A4-4E1F-A505-FABE39726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0475736"/>
        <c:axId val="450480328"/>
      </c:barChart>
      <c:catAx>
        <c:axId val="450475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0480328"/>
        <c:crosses val="autoZero"/>
        <c:auto val="1"/>
        <c:lblAlgn val="ctr"/>
        <c:lblOffset val="100"/>
        <c:noMultiLvlLbl val="0"/>
      </c:catAx>
      <c:valAx>
        <c:axId val="450480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0475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Déc!$E$3</c:f>
              <c:strCache>
                <c:ptCount val="1"/>
                <c:pt idx="0">
                  <c:v>Montant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1704461427348319E-2"/>
                  <c:y val="-0.173333070866141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61-4D16-AE98-BC3B5147D843}"/>
                </c:ext>
              </c:extLst>
            </c:dLbl>
            <c:dLbl>
              <c:idx val="1"/>
              <c:layout>
                <c:manualLayout>
                  <c:x val="-1.3655204998573039E-2"/>
                  <c:y val="-0.20999973753280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61-4D16-AE98-BC3B5147D843}"/>
                </c:ext>
              </c:extLst>
            </c:dLbl>
            <c:dLbl>
              <c:idx val="2"/>
              <c:layout>
                <c:manualLayout>
                  <c:x val="-7.8029742848988795E-3"/>
                  <c:y val="-9.99997375328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61-4D16-AE98-BC3B5147D843}"/>
                </c:ext>
              </c:extLst>
            </c:dLbl>
            <c:dLbl>
              <c:idx val="3"/>
              <c:layout>
                <c:manualLayout>
                  <c:x val="-7.8029742848988795E-3"/>
                  <c:y val="-0.20666640419947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61-4D16-AE98-BC3B5147D843}"/>
                </c:ext>
              </c:extLst>
            </c:dLbl>
            <c:dLbl>
              <c:idx val="4"/>
              <c:layout>
                <c:manualLayout>
                  <c:x val="-7.8029742848988795E-3"/>
                  <c:y val="-0.189999737532808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61-4D16-AE98-BC3B5147D843}"/>
                </c:ext>
              </c:extLst>
            </c:dLbl>
            <c:dLbl>
              <c:idx val="5"/>
              <c:layout>
                <c:manualLayout>
                  <c:x val="3.9014871424494398E-3"/>
                  <c:y val="-0.173333070866141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61-4D16-AE98-BC3B5147D8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Déc!$D$4:$D$16</c:f>
              <c:strCache>
                <c:ptCount val="13"/>
                <c:pt idx="0">
                  <c:v>Restaurants/Cafés</c:v>
                </c:pt>
                <c:pt idx="1">
                  <c:v>Loisirs </c:v>
                </c:pt>
                <c:pt idx="2">
                  <c:v>Cadeaux</c:v>
                </c:pt>
                <c:pt idx="3">
                  <c:v>Alimentation</c:v>
                </c:pt>
                <c:pt idx="4">
                  <c:v>Assurances</c:v>
                </c:pt>
                <c:pt idx="5">
                  <c:v>Internet</c:v>
                </c:pt>
                <c:pt idx="6">
                  <c:v>Autres dépenses</c:v>
                </c:pt>
                <c:pt idx="7">
                  <c:v>Autres revenus</c:v>
                </c:pt>
                <c:pt idx="8">
                  <c:v>Téléphone</c:v>
                </c:pt>
                <c:pt idx="9">
                  <c:v>Loyer</c:v>
                </c:pt>
                <c:pt idx="10">
                  <c:v>Salaire</c:v>
                </c:pt>
                <c:pt idx="11">
                  <c:v>Épargne</c:v>
                </c:pt>
                <c:pt idx="12">
                  <c:v>Achats</c:v>
                </c:pt>
              </c:strCache>
            </c:strRef>
          </c:cat>
          <c:val>
            <c:numRef>
              <c:f>Déc!$E$4:$E$16</c:f>
              <c:numCache>
                <c:formatCode>"€"\ #,##0.00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461-4D16-AE98-BC3B5147D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0475736"/>
        <c:axId val="450480328"/>
      </c:barChart>
      <c:catAx>
        <c:axId val="450475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0480328"/>
        <c:crosses val="autoZero"/>
        <c:auto val="1"/>
        <c:lblAlgn val="ctr"/>
        <c:lblOffset val="100"/>
        <c:noMultiLvlLbl val="0"/>
      </c:catAx>
      <c:valAx>
        <c:axId val="450480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0475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Fév!$E$3</c:f>
              <c:strCache>
                <c:ptCount val="1"/>
                <c:pt idx="0">
                  <c:v>Montant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1704461427348319E-2"/>
                  <c:y val="-0.173333070866141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25-4F47-B433-9196D417FC39}"/>
                </c:ext>
              </c:extLst>
            </c:dLbl>
            <c:dLbl>
              <c:idx val="1"/>
              <c:layout>
                <c:manualLayout>
                  <c:x val="-1.3655204998573039E-2"/>
                  <c:y val="-0.20999973753280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25-4F47-B433-9196D417FC39}"/>
                </c:ext>
              </c:extLst>
            </c:dLbl>
            <c:dLbl>
              <c:idx val="2"/>
              <c:layout>
                <c:manualLayout>
                  <c:x val="-7.8029742848988795E-3"/>
                  <c:y val="-9.99997375328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25-4F47-B433-9196D417FC39}"/>
                </c:ext>
              </c:extLst>
            </c:dLbl>
            <c:dLbl>
              <c:idx val="3"/>
              <c:layout>
                <c:manualLayout>
                  <c:x val="-7.8029742848988795E-3"/>
                  <c:y val="-0.20666640419947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25-4F47-B433-9196D417FC39}"/>
                </c:ext>
              </c:extLst>
            </c:dLbl>
            <c:dLbl>
              <c:idx val="4"/>
              <c:layout>
                <c:manualLayout>
                  <c:x val="-7.8029742848988795E-3"/>
                  <c:y val="-0.189999737532808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25-4F47-B433-9196D417FC39}"/>
                </c:ext>
              </c:extLst>
            </c:dLbl>
            <c:dLbl>
              <c:idx val="5"/>
              <c:layout>
                <c:manualLayout>
                  <c:x val="3.9014871424494398E-3"/>
                  <c:y val="-0.173333070866141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25-4F47-B433-9196D417FC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Fév!$D$4:$D$16</c:f>
              <c:strCache>
                <c:ptCount val="13"/>
                <c:pt idx="0">
                  <c:v>Restaurants/Cafés</c:v>
                </c:pt>
                <c:pt idx="1">
                  <c:v>Loisirs </c:v>
                </c:pt>
                <c:pt idx="2">
                  <c:v>Cadeaux</c:v>
                </c:pt>
                <c:pt idx="3">
                  <c:v>Alimentation</c:v>
                </c:pt>
                <c:pt idx="4">
                  <c:v>Assurances</c:v>
                </c:pt>
                <c:pt idx="5">
                  <c:v>Internet</c:v>
                </c:pt>
                <c:pt idx="6">
                  <c:v>Autres dépenses</c:v>
                </c:pt>
                <c:pt idx="7">
                  <c:v>Autres revenus</c:v>
                </c:pt>
                <c:pt idx="8">
                  <c:v>Téléphone</c:v>
                </c:pt>
                <c:pt idx="9">
                  <c:v>Loyer</c:v>
                </c:pt>
                <c:pt idx="10">
                  <c:v>Salaire</c:v>
                </c:pt>
                <c:pt idx="11">
                  <c:v>Épargne</c:v>
                </c:pt>
                <c:pt idx="12">
                  <c:v>Achats</c:v>
                </c:pt>
              </c:strCache>
            </c:strRef>
          </c:cat>
          <c:val>
            <c:numRef>
              <c:f>Fév!$E$4:$E$16</c:f>
              <c:numCache>
                <c:formatCode>"€"\ #,##0.00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B25-4F47-B433-9196D417F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0475736"/>
        <c:axId val="450480328"/>
      </c:barChart>
      <c:catAx>
        <c:axId val="450475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0480328"/>
        <c:crosses val="autoZero"/>
        <c:auto val="1"/>
        <c:lblAlgn val="ctr"/>
        <c:lblOffset val="100"/>
        <c:noMultiLvlLbl val="0"/>
      </c:catAx>
      <c:valAx>
        <c:axId val="450480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0475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Mar!$E$3</c:f>
              <c:strCache>
                <c:ptCount val="1"/>
                <c:pt idx="0">
                  <c:v>Montant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1704461427348319E-2"/>
                  <c:y val="-0.173333070866141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33-4E7C-9935-D33A780E324C}"/>
                </c:ext>
              </c:extLst>
            </c:dLbl>
            <c:dLbl>
              <c:idx val="1"/>
              <c:layout>
                <c:manualLayout>
                  <c:x val="-1.3655204998573039E-2"/>
                  <c:y val="-0.20999973753280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33-4E7C-9935-D33A780E324C}"/>
                </c:ext>
              </c:extLst>
            </c:dLbl>
            <c:dLbl>
              <c:idx val="2"/>
              <c:layout>
                <c:manualLayout>
                  <c:x val="-7.8029742848988795E-3"/>
                  <c:y val="-9.99997375328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33-4E7C-9935-D33A780E324C}"/>
                </c:ext>
              </c:extLst>
            </c:dLbl>
            <c:dLbl>
              <c:idx val="3"/>
              <c:layout>
                <c:manualLayout>
                  <c:x val="-7.8029742848988795E-3"/>
                  <c:y val="-0.20666640419947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33-4E7C-9935-D33A780E324C}"/>
                </c:ext>
              </c:extLst>
            </c:dLbl>
            <c:dLbl>
              <c:idx val="4"/>
              <c:layout>
                <c:manualLayout>
                  <c:x val="-7.8029742848988795E-3"/>
                  <c:y val="-0.189999737532808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33-4E7C-9935-D33A780E324C}"/>
                </c:ext>
              </c:extLst>
            </c:dLbl>
            <c:dLbl>
              <c:idx val="5"/>
              <c:layout>
                <c:manualLayout>
                  <c:x val="3.9014871424494398E-3"/>
                  <c:y val="-0.173333070866141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33-4E7C-9935-D33A780E32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Mar!$D$4:$D$16</c:f>
              <c:strCache>
                <c:ptCount val="13"/>
                <c:pt idx="0">
                  <c:v>Restaurants/Cafés</c:v>
                </c:pt>
                <c:pt idx="1">
                  <c:v>Loisirs </c:v>
                </c:pt>
                <c:pt idx="2">
                  <c:v>Cadeaux</c:v>
                </c:pt>
                <c:pt idx="3">
                  <c:v>Alimentation</c:v>
                </c:pt>
                <c:pt idx="4">
                  <c:v>Assurances</c:v>
                </c:pt>
                <c:pt idx="5">
                  <c:v>Internet</c:v>
                </c:pt>
                <c:pt idx="6">
                  <c:v>Autres dépenses</c:v>
                </c:pt>
                <c:pt idx="7">
                  <c:v>Autres revenus</c:v>
                </c:pt>
                <c:pt idx="8">
                  <c:v>Téléphone</c:v>
                </c:pt>
                <c:pt idx="9">
                  <c:v>Loyer</c:v>
                </c:pt>
                <c:pt idx="10">
                  <c:v>Salaire</c:v>
                </c:pt>
                <c:pt idx="11">
                  <c:v>Épargne</c:v>
                </c:pt>
                <c:pt idx="12">
                  <c:v>Achats</c:v>
                </c:pt>
              </c:strCache>
            </c:strRef>
          </c:cat>
          <c:val>
            <c:numRef>
              <c:f>Mar!$E$4:$E$16</c:f>
              <c:numCache>
                <c:formatCode>"€"\ #,##0.00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333-4E7C-9935-D33A780E3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0475736"/>
        <c:axId val="450480328"/>
      </c:barChart>
      <c:catAx>
        <c:axId val="450475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0480328"/>
        <c:crosses val="autoZero"/>
        <c:auto val="1"/>
        <c:lblAlgn val="ctr"/>
        <c:lblOffset val="100"/>
        <c:noMultiLvlLbl val="0"/>
      </c:catAx>
      <c:valAx>
        <c:axId val="450480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0475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Avr!$E$3</c:f>
              <c:strCache>
                <c:ptCount val="1"/>
                <c:pt idx="0">
                  <c:v>Montant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1704461427348319E-2"/>
                  <c:y val="-0.173333070866141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08-4077-9C6A-535925696DB9}"/>
                </c:ext>
              </c:extLst>
            </c:dLbl>
            <c:dLbl>
              <c:idx val="1"/>
              <c:layout>
                <c:manualLayout>
                  <c:x val="-1.3655204998573039E-2"/>
                  <c:y val="-0.20999973753280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08-4077-9C6A-535925696DB9}"/>
                </c:ext>
              </c:extLst>
            </c:dLbl>
            <c:dLbl>
              <c:idx val="2"/>
              <c:layout>
                <c:manualLayout>
                  <c:x val="-7.8029742848988795E-3"/>
                  <c:y val="-9.99997375328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08-4077-9C6A-535925696DB9}"/>
                </c:ext>
              </c:extLst>
            </c:dLbl>
            <c:dLbl>
              <c:idx val="3"/>
              <c:layout>
                <c:manualLayout>
                  <c:x val="-7.8029742848988795E-3"/>
                  <c:y val="-0.20666640419947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08-4077-9C6A-535925696DB9}"/>
                </c:ext>
              </c:extLst>
            </c:dLbl>
            <c:dLbl>
              <c:idx val="4"/>
              <c:layout>
                <c:manualLayout>
                  <c:x val="-7.8029742848988795E-3"/>
                  <c:y val="-0.189999737532808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08-4077-9C6A-535925696DB9}"/>
                </c:ext>
              </c:extLst>
            </c:dLbl>
            <c:dLbl>
              <c:idx val="5"/>
              <c:layout>
                <c:manualLayout>
                  <c:x val="3.9014871424494398E-3"/>
                  <c:y val="-0.173333070866141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08-4077-9C6A-535925696D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Avr!$D$4:$D$16</c:f>
              <c:strCache>
                <c:ptCount val="13"/>
                <c:pt idx="0">
                  <c:v>Restaurants/Cafés</c:v>
                </c:pt>
                <c:pt idx="1">
                  <c:v>Loisirs </c:v>
                </c:pt>
                <c:pt idx="2">
                  <c:v>Cadeaux</c:v>
                </c:pt>
                <c:pt idx="3">
                  <c:v>Alimentation</c:v>
                </c:pt>
                <c:pt idx="4">
                  <c:v>Assurances</c:v>
                </c:pt>
                <c:pt idx="5">
                  <c:v>Internet</c:v>
                </c:pt>
                <c:pt idx="6">
                  <c:v>Autres dépenses</c:v>
                </c:pt>
                <c:pt idx="7">
                  <c:v>Autres revenus</c:v>
                </c:pt>
                <c:pt idx="8">
                  <c:v>Téléphone</c:v>
                </c:pt>
                <c:pt idx="9">
                  <c:v>Loyer</c:v>
                </c:pt>
                <c:pt idx="10">
                  <c:v>Salaire</c:v>
                </c:pt>
                <c:pt idx="11">
                  <c:v>Épargne</c:v>
                </c:pt>
                <c:pt idx="12">
                  <c:v>Achats</c:v>
                </c:pt>
              </c:strCache>
            </c:strRef>
          </c:cat>
          <c:val>
            <c:numRef>
              <c:f>Avr!$E$4:$E$16</c:f>
              <c:numCache>
                <c:formatCode>"€"\ #,##0.00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C08-4077-9C6A-535925696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0475736"/>
        <c:axId val="450480328"/>
      </c:barChart>
      <c:catAx>
        <c:axId val="450475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0480328"/>
        <c:crosses val="autoZero"/>
        <c:auto val="1"/>
        <c:lblAlgn val="ctr"/>
        <c:lblOffset val="100"/>
        <c:noMultiLvlLbl val="0"/>
      </c:catAx>
      <c:valAx>
        <c:axId val="450480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0475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Mai!$E$3</c:f>
              <c:strCache>
                <c:ptCount val="1"/>
                <c:pt idx="0">
                  <c:v>Montant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1704461427348319E-2"/>
                  <c:y val="-0.173333070866141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06-4E8C-A676-87697D31429B}"/>
                </c:ext>
              </c:extLst>
            </c:dLbl>
            <c:dLbl>
              <c:idx val="1"/>
              <c:layout>
                <c:manualLayout>
                  <c:x val="-1.3655204998573039E-2"/>
                  <c:y val="-0.20999973753280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06-4E8C-A676-87697D31429B}"/>
                </c:ext>
              </c:extLst>
            </c:dLbl>
            <c:dLbl>
              <c:idx val="2"/>
              <c:layout>
                <c:manualLayout>
                  <c:x val="-7.8029742848988795E-3"/>
                  <c:y val="-9.99997375328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06-4E8C-A676-87697D31429B}"/>
                </c:ext>
              </c:extLst>
            </c:dLbl>
            <c:dLbl>
              <c:idx val="3"/>
              <c:layout>
                <c:manualLayout>
                  <c:x val="-7.8029742848988795E-3"/>
                  <c:y val="-0.20666640419947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06-4E8C-A676-87697D31429B}"/>
                </c:ext>
              </c:extLst>
            </c:dLbl>
            <c:dLbl>
              <c:idx val="4"/>
              <c:layout>
                <c:manualLayout>
                  <c:x val="-7.8029742848988795E-3"/>
                  <c:y val="-0.189999737532808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06-4E8C-A676-87697D31429B}"/>
                </c:ext>
              </c:extLst>
            </c:dLbl>
            <c:dLbl>
              <c:idx val="5"/>
              <c:layout>
                <c:manualLayout>
                  <c:x val="3.9014871424494398E-3"/>
                  <c:y val="-0.173333070866141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606-4E8C-A676-87697D3142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Mai!$D$4:$D$16</c:f>
              <c:strCache>
                <c:ptCount val="13"/>
                <c:pt idx="0">
                  <c:v>Restaurants/Cafés</c:v>
                </c:pt>
                <c:pt idx="1">
                  <c:v>Loisirs </c:v>
                </c:pt>
                <c:pt idx="2">
                  <c:v>Cadeaux</c:v>
                </c:pt>
                <c:pt idx="3">
                  <c:v>Alimentation</c:v>
                </c:pt>
                <c:pt idx="4">
                  <c:v>Assurances</c:v>
                </c:pt>
                <c:pt idx="5">
                  <c:v>Internet</c:v>
                </c:pt>
                <c:pt idx="6">
                  <c:v>Autres dépenses</c:v>
                </c:pt>
                <c:pt idx="7">
                  <c:v>Autres revenus</c:v>
                </c:pt>
                <c:pt idx="8">
                  <c:v>Téléphone</c:v>
                </c:pt>
                <c:pt idx="9">
                  <c:v>Loyer</c:v>
                </c:pt>
                <c:pt idx="10">
                  <c:v>Salaire</c:v>
                </c:pt>
                <c:pt idx="11">
                  <c:v>Épargne</c:v>
                </c:pt>
                <c:pt idx="12">
                  <c:v>Achats</c:v>
                </c:pt>
              </c:strCache>
            </c:strRef>
          </c:cat>
          <c:val>
            <c:numRef>
              <c:f>Mai!$E$4:$E$16</c:f>
              <c:numCache>
                <c:formatCode>"€"\ #,##0.00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606-4E8C-A676-87697D314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0475736"/>
        <c:axId val="450480328"/>
      </c:barChart>
      <c:catAx>
        <c:axId val="450475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0480328"/>
        <c:crosses val="autoZero"/>
        <c:auto val="1"/>
        <c:lblAlgn val="ctr"/>
        <c:lblOffset val="100"/>
        <c:noMultiLvlLbl val="0"/>
      </c:catAx>
      <c:valAx>
        <c:axId val="450480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0475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Juin!$E$3</c:f>
              <c:strCache>
                <c:ptCount val="1"/>
                <c:pt idx="0">
                  <c:v>Montant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1704461427348319E-2"/>
                  <c:y val="-0.173333070866141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34-4E6D-B20B-350EAE7DA623}"/>
                </c:ext>
              </c:extLst>
            </c:dLbl>
            <c:dLbl>
              <c:idx val="1"/>
              <c:layout>
                <c:manualLayout>
                  <c:x val="-1.3655204998573039E-2"/>
                  <c:y val="-0.20999973753280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34-4E6D-B20B-350EAE7DA623}"/>
                </c:ext>
              </c:extLst>
            </c:dLbl>
            <c:dLbl>
              <c:idx val="2"/>
              <c:layout>
                <c:manualLayout>
                  <c:x val="-7.8029742848988795E-3"/>
                  <c:y val="-9.99997375328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34-4E6D-B20B-350EAE7DA623}"/>
                </c:ext>
              </c:extLst>
            </c:dLbl>
            <c:dLbl>
              <c:idx val="3"/>
              <c:layout>
                <c:manualLayout>
                  <c:x val="-7.8029742848988795E-3"/>
                  <c:y val="-0.20666640419947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34-4E6D-B20B-350EAE7DA623}"/>
                </c:ext>
              </c:extLst>
            </c:dLbl>
            <c:dLbl>
              <c:idx val="4"/>
              <c:layout>
                <c:manualLayout>
                  <c:x val="-7.8029742848988795E-3"/>
                  <c:y val="-0.189999737532808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34-4E6D-B20B-350EAE7DA623}"/>
                </c:ext>
              </c:extLst>
            </c:dLbl>
            <c:dLbl>
              <c:idx val="5"/>
              <c:layout>
                <c:manualLayout>
                  <c:x val="3.9014871424494398E-3"/>
                  <c:y val="-0.173333070866141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34-4E6D-B20B-350EAE7DA62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Juin!$D$4:$D$16</c:f>
              <c:strCache>
                <c:ptCount val="13"/>
                <c:pt idx="0">
                  <c:v>Restaurants/Cafés</c:v>
                </c:pt>
                <c:pt idx="1">
                  <c:v>Loisirs </c:v>
                </c:pt>
                <c:pt idx="2">
                  <c:v>Cadeaux</c:v>
                </c:pt>
                <c:pt idx="3">
                  <c:v>Alimentation</c:v>
                </c:pt>
                <c:pt idx="4">
                  <c:v>Assurances</c:v>
                </c:pt>
                <c:pt idx="5">
                  <c:v>Internet</c:v>
                </c:pt>
                <c:pt idx="6">
                  <c:v>Autres dépenses</c:v>
                </c:pt>
                <c:pt idx="7">
                  <c:v>Autres revenus</c:v>
                </c:pt>
                <c:pt idx="8">
                  <c:v>Téléphone</c:v>
                </c:pt>
                <c:pt idx="9">
                  <c:v>Loyer</c:v>
                </c:pt>
                <c:pt idx="10">
                  <c:v>Salaire</c:v>
                </c:pt>
                <c:pt idx="11">
                  <c:v>Épargne</c:v>
                </c:pt>
                <c:pt idx="12">
                  <c:v>Achats</c:v>
                </c:pt>
              </c:strCache>
            </c:strRef>
          </c:cat>
          <c:val>
            <c:numRef>
              <c:f>Juin!$E$4:$E$16</c:f>
              <c:numCache>
                <c:formatCode>"€"\ #,##0.00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B34-4E6D-B20B-350EAE7DA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0475736"/>
        <c:axId val="450480328"/>
      </c:barChart>
      <c:catAx>
        <c:axId val="450475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0480328"/>
        <c:crosses val="autoZero"/>
        <c:auto val="1"/>
        <c:lblAlgn val="ctr"/>
        <c:lblOffset val="100"/>
        <c:noMultiLvlLbl val="0"/>
      </c:catAx>
      <c:valAx>
        <c:axId val="450480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0475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Juil!$E$3</c:f>
              <c:strCache>
                <c:ptCount val="1"/>
                <c:pt idx="0">
                  <c:v>Montant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1704461427348319E-2"/>
                  <c:y val="-0.173333070866141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7C-445B-AF7F-673EE65B20C2}"/>
                </c:ext>
              </c:extLst>
            </c:dLbl>
            <c:dLbl>
              <c:idx val="1"/>
              <c:layout>
                <c:manualLayout>
                  <c:x val="-1.3655204998573039E-2"/>
                  <c:y val="-0.20999973753280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7C-445B-AF7F-673EE65B20C2}"/>
                </c:ext>
              </c:extLst>
            </c:dLbl>
            <c:dLbl>
              <c:idx val="2"/>
              <c:layout>
                <c:manualLayout>
                  <c:x val="-7.8029742848988795E-3"/>
                  <c:y val="-9.99997375328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7C-445B-AF7F-673EE65B20C2}"/>
                </c:ext>
              </c:extLst>
            </c:dLbl>
            <c:dLbl>
              <c:idx val="3"/>
              <c:layout>
                <c:manualLayout>
                  <c:x val="-7.8029742848988795E-3"/>
                  <c:y val="-0.20666640419947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7C-445B-AF7F-673EE65B20C2}"/>
                </c:ext>
              </c:extLst>
            </c:dLbl>
            <c:dLbl>
              <c:idx val="4"/>
              <c:layout>
                <c:manualLayout>
                  <c:x val="-7.8029742848988795E-3"/>
                  <c:y val="-0.189999737532808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7C-445B-AF7F-673EE65B20C2}"/>
                </c:ext>
              </c:extLst>
            </c:dLbl>
            <c:dLbl>
              <c:idx val="5"/>
              <c:layout>
                <c:manualLayout>
                  <c:x val="3.9014871424494398E-3"/>
                  <c:y val="-0.173333070866141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7C-445B-AF7F-673EE65B20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Juil!$D$4:$D$16</c:f>
              <c:strCache>
                <c:ptCount val="13"/>
                <c:pt idx="0">
                  <c:v>Restaurants/Cafés</c:v>
                </c:pt>
                <c:pt idx="1">
                  <c:v>Loisirs </c:v>
                </c:pt>
                <c:pt idx="2">
                  <c:v>Cadeaux</c:v>
                </c:pt>
                <c:pt idx="3">
                  <c:v>Alimentation</c:v>
                </c:pt>
                <c:pt idx="4">
                  <c:v>Assurances</c:v>
                </c:pt>
                <c:pt idx="5">
                  <c:v>Internet</c:v>
                </c:pt>
                <c:pt idx="6">
                  <c:v>Autres dépenses</c:v>
                </c:pt>
                <c:pt idx="7">
                  <c:v>Autres revenus</c:v>
                </c:pt>
                <c:pt idx="8">
                  <c:v>Téléphone</c:v>
                </c:pt>
                <c:pt idx="9">
                  <c:v>Loyer</c:v>
                </c:pt>
                <c:pt idx="10">
                  <c:v>Salaire</c:v>
                </c:pt>
                <c:pt idx="11">
                  <c:v>Épargne</c:v>
                </c:pt>
                <c:pt idx="12">
                  <c:v>Achats</c:v>
                </c:pt>
              </c:strCache>
            </c:strRef>
          </c:cat>
          <c:val>
            <c:numRef>
              <c:f>Juil!$E$4:$E$16</c:f>
              <c:numCache>
                <c:formatCode>"€"\ #,##0.00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57C-445B-AF7F-673EE65B2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0475736"/>
        <c:axId val="450480328"/>
      </c:barChart>
      <c:catAx>
        <c:axId val="450475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0480328"/>
        <c:crosses val="autoZero"/>
        <c:auto val="1"/>
        <c:lblAlgn val="ctr"/>
        <c:lblOffset val="100"/>
        <c:noMultiLvlLbl val="0"/>
      </c:catAx>
      <c:valAx>
        <c:axId val="450480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0475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Aoû!$E$3</c:f>
              <c:strCache>
                <c:ptCount val="1"/>
                <c:pt idx="0">
                  <c:v>Montant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1704461427348319E-2"/>
                  <c:y val="-0.173333070866141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79-455F-BC19-B25E1E99AD17}"/>
                </c:ext>
              </c:extLst>
            </c:dLbl>
            <c:dLbl>
              <c:idx val="1"/>
              <c:layout>
                <c:manualLayout>
                  <c:x val="-1.3655204998573039E-2"/>
                  <c:y val="-0.20999973753280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79-455F-BC19-B25E1E99AD17}"/>
                </c:ext>
              </c:extLst>
            </c:dLbl>
            <c:dLbl>
              <c:idx val="2"/>
              <c:layout>
                <c:manualLayout>
                  <c:x val="-7.8029742848988795E-3"/>
                  <c:y val="-9.99997375328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79-455F-BC19-B25E1E99AD17}"/>
                </c:ext>
              </c:extLst>
            </c:dLbl>
            <c:dLbl>
              <c:idx val="3"/>
              <c:layout>
                <c:manualLayout>
                  <c:x val="-7.8029742848988795E-3"/>
                  <c:y val="-0.20666640419947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79-455F-BC19-B25E1E99AD17}"/>
                </c:ext>
              </c:extLst>
            </c:dLbl>
            <c:dLbl>
              <c:idx val="4"/>
              <c:layout>
                <c:manualLayout>
                  <c:x val="-7.8029742848988795E-3"/>
                  <c:y val="-0.189999737532808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79-455F-BC19-B25E1E99AD17}"/>
                </c:ext>
              </c:extLst>
            </c:dLbl>
            <c:dLbl>
              <c:idx val="5"/>
              <c:layout>
                <c:manualLayout>
                  <c:x val="3.9014871424494398E-3"/>
                  <c:y val="-0.173333070866141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79-455F-BC19-B25E1E99AD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Aoû!$D$4:$D$16</c:f>
              <c:strCache>
                <c:ptCount val="13"/>
                <c:pt idx="0">
                  <c:v>Restaurants/Cafés</c:v>
                </c:pt>
                <c:pt idx="1">
                  <c:v>Loisirs </c:v>
                </c:pt>
                <c:pt idx="2">
                  <c:v>Cadeaux</c:v>
                </c:pt>
                <c:pt idx="3">
                  <c:v>Alimentation</c:v>
                </c:pt>
                <c:pt idx="4">
                  <c:v>Assurances</c:v>
                </c:pt>
                <c:pt idx="5">
                  <c:v>Internet</c:v>
                </c:pt>
                <c:pt idx="6">
                  <c:v>Autres dépenses</c:v>
                </c:pt>
                <c:pt idx="7">
                  <c:v>Autres revenus</c:v>
                </c:pt>
                <c:pt idx="8">
                  <c:v>Téléphone</c:v>
                </c:pt>
                <c:pt idx="9">
                  <c:v>Loyer</c:v>
                </c:pt>
                <c:pt idx="10">
                  <c:v>Salaire</c:v>
                </c:pt>
                <c:pt idx="11">
                  <c:v>Épargne</c:v>
                </c:pt>
                <c:pt idx="12">
                  <c:v>Achats</c:v>
                </c:pt>
              </c:strCache>
            </c:strRef>
          </c:cat>
          <c:val>
            <c:numRef>
              <c:f>Aoû!$E$4:$E$16</c:f>
              <c:numCache>
                <c:formatCode>"€"\ #,##0.00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079-455F-BC19-B25E1E99A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0475736"/>
        <c:axId val="450480328"/>
      </c:barChart>
      <c:catAx>
        <c:axId val="450475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0480328"/>
        <c:crosses val="autoZero"/>
        <c:auto val="1"/>
        <c:lblAlgn val="ctr"/>
        <c:lblOffset val="100"/>
        <c:noMultiLvlLbl val="0"/>
      </c:catAx>
      <c:valAx>
        <c:axId val="450480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0475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Sep!$E$3</c:f>
              <c:strCache>
                <c:ptCount val="1"/>
                <c:pt idx="0">
                  <c:v>Montant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1704461427348319E-2"/>
                  <c:y val="-0.173333070866141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D7-4336-B66F-2A3C58EA5751}"/>
                </c:ext>
              </c:extLst>
            </c:dLbl>
            <c:dLbl>
              <c:idx val="1"/>
              <c:layout>
                <c:manualLayout>
                  <c:x val="-1.3655204998573039E-2"/>
                  <c:y val="-0.20999973753280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D7-4336-B66F-2A3C58EA5751}"/>
                </c:ext>
              </c:extLst>
            </c:dLbl>
            <c:dLbl>
              <c:idx val="2"/>
              <c:layout>
                <c:manualLayout>
                  <c:x val="-7.8029742848988795E-3"/>
                  <c:y val="-9.99997375328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D7-4336-B66F-2A3C58EA5751}"/>
                </c:ext>
              </c:extLst>
            </c:dLbl>
            <c:dLbl>
              <c:idx val="3"/>
              <c:layout>
                <c:manualLayout>
                  <c:x val="-7.8029742848988795E-3"/>
                  <c:y val="-0.20666640419947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D7-4336-B66F-2A3C58EA5751}"/>
                </c:ext>
              </c:extLst>
            </c:dLbl>
            <c:dLbl>
              <c:idx val="4"/>
              <c:layout>
                <c:manualLayout>
                  <c:x val="-7.8029742848988795E-3"/>
                  <c:y val="-0.189999737532808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D7-4336-B66F-2A3C58EA5751}"/>
                </c:ext>
              </c:extLst>
            </c:dLbl>
            <c:dLbl>
              <c:idx val="5"/>
              <c:layout>
                <c:manualLayout>
                  <c:x val="3.9014871424494398E-3"/>
                  <c:y val="-0.173333070866141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D7-4336-B66F-2A3C58EA57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Sep!$D$4:$D$16</c:f>
              <c:strCache>
                <c:ptCount val="13"/>
                <c:pt idx="0">
                  <c:v>Restaurants/Cafés</c:v>
                </c:pt>
                <c:pt idx="1">
                  <c:v>Loisirs </c:v>
                </c:pt>
                <c:pt idx="2">
                  <c:v>Cadeaux</c:v>
                </c:pt>
                <c:pt idx="3">
                  <c:v>Alimentation</c:v>
                </c:pt>
                <c:pt idx="4">
                  <c:v>Assurances</c:v>
                </c:pt>
                <c:pt idx="5">
                  <c:v>Internet</c:v>
                </c:pt>
                <c:pt idx="6">
                  <c:v>Autres dépenses</c:v>
                </c:pt>
                <c:pt idx="7">
                  <c:v>Autres revenus</c:v>
                </c:pt>
                <c:pt idx="8">
                  <c:v>Téléphone</c:v>
                </c:pt>
                <c:pt idx="9">
                  <c:v>Loyer</c:v>
                </c:pt>
                <c:pt idx="10">
                  <c:v>Salaire</c:v>
                </c:pt>
                <c:pt idx="11">
                  <c:v>Épargne</c:v>
                </c:pt>
                <c:pt idx="12">
                  <c:v>Achats</c:v>
                </c:pt>
              </c:strCache>
            </c:strRef>
          </c:cat>
          <c:val>
            <c:numRef>
              <c:f>Sep!$E$4:$E$16</c:f>
              <c:numCache>
                <c:formatCode>"€"\ #,##0.00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4D7-4336-B66F-2A3C58EA5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0475736"/>
        <c:axId val="450480328"/>
      </c:barChart>
      <c:catAx>
        <c:axId val="450475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0480328"/>
        <c:crosses val="autoZero"/>
        <c:auto val="1"/>
        <c:lblAlgn val="ctr"/>
        <c:lblOffset val="100"/>
        <c:noMultiLvlLbl val="0"/>
      </c:catAx>
      <c:valAx>
        <c:axId val="450480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0475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244189</xdr:colOff>
      <xdr:row>2</xdr:row>
      <xdr:rowOff>92483</xdr:rowOff>
    </xdr:from>
    <xdr:to>
      <xdr:col>15</xdr:col>
      <xdr:colOff>658527</xdr:colOff>
      <xdr:row>21</xdr:row>
      <xdr:rowOff>92483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CE66A17-2F82-4D4F-A509-482B414A88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244189</xdr:colOff>
      <xdr:row>2</xdr:row>
      <xdr:rowOff>92483</xdr:rowOff>
    </xdr:from>
    <xdr:to>
      <xdr:col>15</xdr:col>
      <xdr:colOff>658527</xdr:colOff>
      <xdr:row>21</xdr:row>
      <xdr:rowOff>92483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E876CDB-3F8C-4397-8039-F1A16B61EE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244189</xdr:colOff>
      <xdr:row>2</xdr:row>
      <xdr:rowOff>92483</xdr:rowOff>
    </xdr:from>
    <xdr:to>
      <xdr:col>15</xdr:col>
      <xdr:colOff>658527</xdr:colOff>
      <xdr:row>21</xdr:row>
      <xdr:rowOff>92483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A6FF2F2-1065-4077-9FBB-DCAFF506CB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244189</xdr:colOff>
      <xdr:row>2</xdr:row>
      <xdr:rowOff>92483</xdr:rowOff>
    </xdr:from>
    <xdr:to>
      <xdr:col>15</xdr:col>
      <xdr:colOff>658527</xdr:colOff>
      <xdr:row>21</xdr:row>
      <xdr:rowOff>92483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5646FDF-D13F-48BD-9597-5623E4BADA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244189</xdr:colOff>
      <xdr:row>2</xdr:row>
      <xdr:rowOff>92483</xdr:rowOff>
    </xdr:from>
    <xdr:to>
      <xdr:col>15</xdr:col>
      <xdr:colOff>658527</xdr:colOff>
      <xdr:row>21</xdr:row>
      <xdr:rowOff>92483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9470176-1CF2-42BA-A00A-0FD970B0EA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244189</xdr:colOff>
      <xdr:row>2</xdr:row>
      <xdr:rowOff>92483</xdr:rowOff>
    </xdr:from>
    <xdr:to>
      <xdr:col>15</xdr:col>
      <xdr:colOff>658527</xdr:colOff>
      <xdr:row>21</xdr:row>
      <xdr:rowOff>92483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7388943-BC23-406A-AAC1-9CC9ED6734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244189</xdr:colOff>
      <xdr:row>2</xdr:row>
      <xdr:rowOff>92483</xdr:rowOff>
    </xdr:from>
    <xdr:to>
      <xdr:col>15</xdr:col>
      <xdr:colOff>658527</xdr:colOff>
      <xdr:row>21</xdr:row>
      <xdr:rowOff>92483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EC81A6D-6D39-41D3-BC17-20244D3C8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244189</xdr:colOff>
      <xdr:row>2</xdr:row>
      <xdr:rowOff>92483</xdr:rowOff>
    </xdr:from>
    <xdr:to>
      <xdr:col>15</xdr:col>
      <xdr:colOff>658527</xdr:colOff>
      <xdr:row>21</xdr:row>
      <xdr:rowOff>92483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CB1E08F-E32F-4322-B676-6A6072D08D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244189</xdr:colOff>
      <xdr:row>2</xdr:row>
      <xdr:rowOff>92483</xdr:rowOff>
    </xdr:from>
    <xdr:to>
      <xdr:col>15</xdr:col>
      <xdr:colOff>658527</xdr:colOff>
      <xdr:row>21</xdr:row>
      <xdr:rowOff>92483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A49775A-A06F-494F-9C47-BAA884B1CA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244189</xdr:colOff>
      <xdr:row>2</xdr:row>
      <xdr:rowOff>92483</xdr:rowOff>
    </xdr:from>
    <xdr:to>
      <xdr:col>15</xdr:col>
      <xdr:colOff>658527</xdr:colOff>
      <xdr:row>21</xdr:row>
      <xdr:rowOff>92483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447AA94-2EA3-43F6-9FD7-DE65DD10D9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244189</xdr:colOff>
      <xdr:row>2</xdr:row>
      <xdr:rowOff>92483</xdr:rowOff>
    </xdr:from>
    <xdr:to>
      <xdr:col>15</xdr:col>
      <xdr:colOff>658527</xdr:colOff>
      <xdr:row>21</xdr:row>
      <xdr:rowOff>92483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AEFA617-0322-43CB-8115-DC8E6B7D88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244189</xdr:colOff>
      <xdr:row>2</xdr:row>
      <xdr:rowOff>92483</xdr:rowOff>
    </xdr:from>
    <xdr:to>
      <xdr:col>15</xdr:col>
      <xdr:colOff>658527</xdr:colOff>
      <xdr:row>21</xdr:row>
      <xdr:rowOff>92483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20ADBF5-F544-450E-8298-FE96E61525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BFDB9F3-6663-4C70-95D9-A2E12CB686CE}" name="Tabelle1" displayName="Tabelle1" ref="A1:A27" totalsRowShown="0">
  <autoFilter ref="A1:A27" xr:uid="{2BFDB9F3-6663-4C70-95D9-A2E12CB686CE}"/>
  <sortState xmlns:xlrd2="http://schemas.microsoft.com/office/spreadsheetml/2017/richdata2" ref="A2:A14">
    <sortCondition ref="A1:A27"/>
  </sortState>
  <tableColumns count="1">
    <tableColumn id="1" xr3:uid="{F3EBE770-22B0-4F59-9596-77E104CA3850}" name="Catégories"/>
  </tableColumns>
  <tableStyleInfo name="TableStyleLight7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82EA2064-57AE-4B28-9ABA-A97CBCA0D5F8}" name="Tabelle215161819202122" displayName="Tabelle215161819202122" ref="A3:C70" totalsRowShown="0" headerRowDxfId="29" dataDxfId="28">
  <autoFilter ref="A3:C70" xr:uid="{871B018B-52AB-4847-B35A-100BC15F6988}"/>
  <sortState xmlns:xlrd2="http://schemas.microsoft.com/office/spreadsheetml/2017/richdata2" ref="A4:C61">
    <sortCondition ref="A3:A61"/>
  </sortState>
  <tableColumns count="3">
    <tableColumn id="1" xr3:uid="{DFDA5461-090D-435F-A03F-46D082238108}" name="Catégorie" dataDxfId="27"/>
    <tableColumn id="2" xr3:uid="{304C192A-E002-419C-8F2C-A8FD1F8E3604}" name="Montant" dataDxfId="26" dataCellStyle="Währung"/>
    <tableColumn id="3" xr3:uid="{90A19A6E-F0BF-4785-849E-A98649E260C1}" name="Commentaire" dataDxfId="2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9C4F94D4-69D3-4AC4-BB01-569388A06A84}" name="Tabelle21516181920212223" displayName="Tabelle21516181920212223" ref="A3:C70" totalsRowShown="0" headerRowDxfId="24" dataDxfId="23">
  <autoFilter ref="A3:C70" xr:uid="{871B018B-52AB-4847-B35A-100BC15F6988}"/>
  <sortState xmlns:xlrd2="http://schemas.microsoft.com/office/spreadsheetml/2017/richdata2" ref="A4:C61">
    <sortCondition ref="A3:A61"/>
  </sortState>
  <tableColumns count="3">
    <tableColumn id="1" xr3:uid="{0EC1BFC8-BD82-4591-8E73-23B3B4B8B319}" name="Catégorie" dataDxfId="22"/>
    <tableColumn id="2" xr3:uid="{4C536784-D614-42A8-BA39-89C935A87B43}" name="Montant" dataDxfId="21" dataCellStyle="Währung"/>
    <tableColumn id="3" xr3:uid="{E9BD032B-1376-492C-9346-BA392D94E002}" name="Commentaire" dataDxfId="20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B1AEEB00-FC2E-421C-9814-5613353422D3}" name="Tabelle2151618192021222324" displayName="Tabelle2151618192021222324" ref="A3:C70" totalsRowShown="0" headerRowDxfId="19" dataDxfId="18">
  <autoFilter ref="A3:C70" xr:uid="{871B018B-52AB-4847-B35A-100BC15F6988}"/>
  <sortState xmlns:xlrd2="http://schemas.microsoft.com/office/spreadsheetml/2017/richdata2" ref="A4:C61">
    <sortCondition ref="A3:A61"/>
  </sortState>
  <tableColumns count="3">
    <tableColumn id="1" xr3:uid="{FF467024-7677-498F-B8FB-FEAEF3912B4F}" name="Catégorie" dataDxfId="17"/>
    <tableColumn id="2" xr3:uid="{E4C8D9A3-414C-4D29-9C47-FFD9474CCA8C}" name="Montant" dataDxfId="16" dataCellStyle="Währung"/>
    <tableColumn id="3" xr3:uid="{65132DC5-7F52-4644-ABFB-C60CE3CF53F5}" name="Commentaire" dataDxfId="1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B96922C-A467-47B3-AB9E-FDDF78BD3FD3}" name="Tabelle215161819202122232425" displayName="Tabelle215161819202122232425" ref="A3:C70" totalsRowShown="0" headerRowDxfId="14" dataDxfId="13">
  <autoFilter ref="A3:C70" xr:uid="{871B018B-52AB-4847-B35A-100BC15F6988}"/>
  <sortState xmlns:xlrd2="http://schemas.microsoft.com/office/spreadsheetml/2017/richdata2" ref="A4:C61">
    <sortCondition ref="A3:A61"/>
  </sortState>
  <tableColumns count="3">
    <tableColumn id="1" xr3:uid="{C6D2519E-075D-40D8-B4AB-20339C3E5369}" name="Catégorie" dataDxfId="12"/>
    <tableColumn id="2" xr3:uid="{7150BFBE-F6F3-49B4-919E-91BD80446DBD}" name="Montant" dataDxfId="11" dataCellStyle="Währung"/>
    <tableColumn id="3" xr3:uid="{F888C548-E3E1-4E8A-9D6A-22D5B2A61188}" name="Commentaire" dataDxfId="10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610C20AA-7CF9-464A-8B7F-2B86EB5CF08A}" name="Tabelle21516181920212223242526" displayName="Tabelle21516181920212223242526" ref="A3:C70" totalsRowShown="0" headerRowDxfId="9" dataDxfId="8">
  <autoFilter ref="A3:C70" xr:uid="{871B018B-52AB-4847-B35A-100BC15F6988}"/>
  <sortState xmlns:xlrd2="http://schemas.microsoft.com/office/spreadsheetml/2017/richdata2" ref="A4:C61">
    <sortCondition ref="A3:A61"/>
  </sortState>
  <tableColumns count="3">
    <tableColumn id="1" xr3:uid="{8FEAEC7E-F027-4B45-A8F5-2F2257B699F5}" name="Catégorie" dataDxfId="7"/>
    <tableColumn id="2" xr3:uid="{1236FECB-1297-4567-B19E-058153277E7C}" name="Montant" dataDxfId="6" dataCellStyle="Währung"/>
    <tableColumn id="3" xr3:uid="{7C5839C8-EAFA-4E9C-9F30-4BBCB1C38336}" name="Commentaire" dataDxfId="5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52F2781A-2275-4E2A-97D9-3F889DD5A29D}" name="Tabelle2151618192021222324252627" displayName="Tabelle2151618192021222324252627" ref="A3:C70" totalsRowShown="0" headerRowDxfId="4" dataDxfId="3">
  <autoFilter ref="A3:C70" xr:uid="{871B018B-52AB-4847-B35A-100BC15F6988}"/>
  <sortState xmlns:xlrd2="http://schemas.microsoft.com/office/spreadsheetml/2017/richdata2" ref="A4:C61">
    <sortCondition ref="A3:A61"/>
  </sortState>
  <tableColumns count="3">
    <tableColumn id="1" xr3:uid="{C77774F1-0774-4D25-AA38-F4A5D71DAD68}" name="Catégorie" dataDxfId="2"/>
    <tableColumn id="2" xr3:uid="{4096A287-8A10-4DBF-8E42-011A549F769D}" name="Montant" dataDxfId="1" dataCellStyle="Währung"/>
    <tableColumn id="3" xr3:uid="{3C4C4D6C-8EE7-4C7A-AB2C-7186E9506D14}" name="Commentaire" dataDxfId="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21073B3-1640-4F38-94FC-46123DA421C4}" name="Tabelle2614" displayName="Tabelle2614" ref="A2:M16" totalsRowShown="0" headerRowDxfId="86" dataDxfId="84" headerRowBorderDxfId="85" tableBorderDxfId="83" totalsRowBorderDxfId="82">
  <autoFilter ref="A2:M16" xr:uid="{376A4A7A-5F93-479A-AF5F-1920DDC64236}"/>
  <tableColumns count="13">
    <tableColumn id="1" xr3:uid="{DE0461CB-2261-46B2-A93C-54B0DF62CC22}" name="Mois" dataDxfId="81"/>
    <tableColumn id="2" xr3:uid="{BC306AB5-7696-401C-8FF7-DD381388D2F7}" name="Restaurants/Cafés" dataDxfId="80"/>
    <tableColumn id="3" xr3:uid="{5E2160A0-189E-4DE7-92EA-7C519F4BB9C2}" name="Loisirs " dataDxfId="79"/>
    <tableColumn id="4" xr3:uid="{1DB9B166-F220-4205-978E-0A155797AF28}" name="Cadeaux" dataDxfId="78"/>
    <tableColumn id="5" xr3:uid="{D954D51C-1C07-4468-86BC-CACAEB609416}" name="Alimentation" dataDxfId="77"/>
    <tableColumn id="6" xr3:uid="{71CDE6F4-3B91-4073-AE07-1A43F1478D9B}" name="Assurances" dataDxfId="76"/>
    <tableColumn id="7" xr3:uid="{A3E62AB7-32C0-4FC2-9963-9CCF91298B2A}" name="Internet" dataDxfId="75"/>
    <tableColumn id="8" xr3:uid="{79048532-6F1A-4764-ADF4-39FD82C134BD}" name="Autres dépenses" dataDxfId="74"/>
    <tableColumn id="10" xr3:uid="{E554315C-728A-4676-9CBC-066C26A6B2EF}" name="Téléphone" dataDxfId="73"/>
    <tableColumn id="11" xr3:uid="{461B472E-1667-4B80-8062-B4623DA2D032}" name="Loyer" dataDxfId="72"/>
    <tableColumn id="13" xr3:uid="{7708E163-43D6-47E4-B973-59B4BA2D5AB1}" name="Épargne" dataDxfId="71"/>
    <tableColumn id="14" xr3:uid="{F0D956D6-3D3C-4336-AB07-CDD2845FD4E7}" name="Achats" dataDxfId="70"/>
    <tableColumn id="21" xr3:uid="{EA68DD46-753B-43A5-B565-2A4519D3C74F}" name="Total" dataDxfId="69">
      <calculatedColumnFormula>SUM(#REF!)</calculatedColumnFormula>
    </tableColumn>
  </tableColumns>
  <tableStyleInfo name="TableStyleLight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AC094D2A-EC49-4E7E-94A3-57ECFACDE9A4}" name="Tabelle261417" displayName="Tabelle261417" ref="A20:D34" totalsRowShown="0" headerRowDxfId="68" dataDxfId="66" headerRowBorderDxfId="67" tableBorderDxfId="65" totalsRowBorderDxfId="64">
  <autoFilter ref="A20:D34" xr:uid="{AC094D2A-EC49-4E7E-94A3-57ECFACDE9A4}"/>
  <tableColumns count="4">
    <tableColumn id="1" xr3:uid="{4BD86781-92D1-456D-9C3F-03D7E593CBC4}" name="Mois" dataDxfId="63"/>
    <tableColumn id="9" xr3:uid="{DA68C1A9-76F3-4ACC-ACE7-1555AFC2B61E}" name="Autres revenus" dataDxfId="62"/>
    <tableColumn id="12" xr3:uid="{7559FF28-2CE5-4B94-A1D0-03EB8E13CAE7}" name="Salaire" dataDxfId="61"/>
    <tableColumn id="21" xr3:uid="{8A3AF7CA-E913-4A9E-8A3C-D4A352427C91}" name="Totalme" dataDxfId="60">
      <calculatedColumnFormula>SUM(Tabelle261417[[#This Row],[Autres revenus]:[Salaire]])</calculatedColumnFormula>
    </tableColumn>
  </tableColumns>
  <tableStyleInfo name="TableStyleLight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EF33CE1-CBA2-422C-ADD4-BF8150B3EF9F}" name="Tabelle215" displayName="Tabelle215" ref="A3:C70" totalsRowShown="0" headerRowDxfId="59" dataDxfId="58">
  <autoFilter ref="A3:C70" xr:uid="{871B018B-52AB-4847-B35A-100BC15F6988}"/>
  <sortState xmlns:xlrd2="http://schemas.microsoft.com/office/spreadsheetml/2017/richdata2" ref="A4:C61">
    <sortCondition ref="A3:A61"/>
  </sortState>
  <tableColumns count="3">
    <tableColumn id="1" xr3:uid="{C61C95D2-6478-4F71-AE17-81BD16A06BEC}" name="Catégorie" dataDxfId="57"/>
    <tableColumn id="2" xr3:uid="{58E4684F-945C-49E6-985D-680175BFB7CD}" name="Montant" dataDxfId="56" dataCellStyle="Währung"/>
    <tableColumn id="3" xr3:uid="{7469F349-B797-4F9F-951D-68D7D909D56D}" name="Commentaire" dataDxfId="5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0C02875-1904-49F5-9C9A-630856B6207F}" name="Tabelle21516" displayName="Tabelle21516" ref="A3:C70" totalsRowShown="0" headerRowDxfId="54" dataDxfId="53">
  <autoFilter ref="A3:C70" xr:uid="{871B018B-52AB-4847-B35A-100BC15F6988}"/>
  <sortState xmlns:xlrd2="http://schemas.microsoft.com/office/spreadsheetml/2017/richdata2" ref="A4:C61">
    <sortCondition ref="A3:A61"/>
  </sortState>
  <tableColumns count="3">
    <tableColumn id="1" xr3:uid="{12261CCC-F00C-4F7F-805E-6F4AA628B92A}" name="Catégorie" dataDxfId="52"/>
    <tableColumn id="2" xr3:uid="{A7DCFFDB-A967-4299-8122-A8362C767A3C}" name="Montant" dataDxfId="51" dataCellStyle="Währung"/>
    <tableColumn id="3" xr3:uid="{5BFEFE4B-DAA9-4568-997A-3BF2EF2970D2}" name="Commentaire" dataDxfId="50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913DBEB7-1B8A-42C2-8893-AB02DD732224}" name="Tabelle2151618" displayName="Tabelle2151618" ref="A3:C70" totalsRowShown="0" headerRowDxfId="49" dataDxfId="48">
  <autoFilter ref="A3:C70" xr:uid="{871B018B-52AB-4847-B35A-100BC15F6988}"/>
  <sortState xmlns:xlrd2="http://schemas.microsoft.com/office/spreadsheetml/2017/richdata2" ref="A4:C61">
    <sortCondition ref="A3:A61"/>
  </sortState>
  <tableColumns count="3">
    <tableColumn id="1" xr3:uid="{2CFD8AF2-2283-43F4-8BCA-0B4AD92EA276}" name="Catégorie" dataDxfId="47"/>
    <tableColumn id="2" xr3:uid="{382E2978-206D-4EE7-A051-A4E20386A18E}" name="Montant" dataDxfId="46" dataCellStyle="Währung"/>
    <tableColumn id="3" xr3:uid="{614FF71A-0733-4029-97B3-2EAEA974DC4E}" name="Commentaire" dataDxfId="45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EBE4EE01-FEA7-4212-B2D7-784ABA505A92}" name="Tabelle215161819" displayName="Tabelle215161819" ref="A3:C70" totalsRowShown="0" headerRowDxfId="44" dataDxfId="43">
  <autoFilter ref="A3:C70" xr:uid="{871B018B-52AB-4847-B35A-100BC15F6988}"/>
  <sortState xmlns:xlrd2="http://schemas.microsoft.com/office/spreadsheetml/2017/richdata2" ref="A4:C61">
    <sortCondition ref="A3:A61"/>
  </sortState>
  <tableColumns count="3">
    <tableColumn id="1" xr3:uid="{5D44AC40-38EE-48E5-806F-CB54DF4561E6}" name="Catégorie" dataDxfId="42"/>
    <tableColumn id="2" xr3:uid="{9E4B3A51-4D5E-40C9-B0AB-9B66FD730E32}" name="Montant" dataDxfId="41" dataCellStyle="Währung"/>
    <tableColumn id="3" xr3:uid="{6ECD9CF9-3ACA-47CE-A232-79E971ECEBB3}" name="Commentaire" dataDxfId="40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A509DA07-C1AB-4398-8C70-73F22CC1CA0D}" name="Tabelle21516181920" displayName="Tabelle21516181920" ref="A3:C70" totalsRowShown="0" headerRowDxfId="39" dataDxfId="38">
  <autoFilter ref="A3:C70" xr:uid="{871B018B-52AB-4847-B35A-100BC15F6988}"/>
  <sortState xmlns:xlrd2="http://schemas.microsoft.com/office/spreadsheetml/2017/richdata2" ref="A4:C61">
    <sortCondition ref="A3:A61"/>
  </sortState>
  <tableColumns count="3">
    <tableColumn id="1" xr3:uid="{7F6F9BD6-EE82-400A-9B9C-E70BB6725C69}" name="Catégorie" dataDxfId="37"/>
    <tableColumn id="2" xr3:uid="{DFB10CEC-7E78-4A42-A43A-0AC8A91471BD}" name="Montant" dataDxfId="36" dataCellStyle="Währung"/>
    <tableColumn id="3" xr3:uid="{2572169B-C23F-47D6-8448-A6C3C5EA818B}" name="Commentaire" dataDxfId="3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A331A76D-ADC4-4DC1-ABBA-507E390DB6AD}" name="Tabelle2151618192021" displayName="Tabelle2151618192021" ref="A3:C70" totalsRowShown="0" headerRowDxfId="34" dataDxfId="33">
  <autoFilter ref="A3:C70" xr:uid="{871B018B-52AB-4847-B35A-100BC15F6988}"/>
  <sortState xmlns:xlrd2="http://schemas.microsoft.com/office/spreadsheetml/2017/richdata2" ref="A4:C61">
    <sortCondition ref="A3:A61"/>
  </sortState>
  <tableColumns count="3">
    <tableColumn id="1" xr3:uid="{EB646CAE-89DA-4038-A63A-703F64A55E58}" name="Catégorie" dataDxfId="32"/>
    <tableColumn id="2" xr3:uid="{36F06DA0-9FCC-4431-A9DF-9C093E4122FE}" name="Montant" dataDxfId="31" dataCellStyle="Währung"/>
    <tableColumn id="3" xr3:uid="{4B39072C-2744-48E0-B414-C55F24E7F441}" name="Commentaire" dataDxfId="3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38FF0-ACDA-4B29-86B5-1D076BFCA9E0}">
  <dimension ref="A1:O7"/>
  <sheetViews>
    <sheetView tabSelected="1" workbookViewId="0">
      <selection activeCell="A11" sqref="A11"/>
    </sheetView>
  </sheetViews>
  <sheetFormatPr baseColWidth="10" defaultRowHeight="14.5" x14ac:dyDescent="0.35"/>
  <cols>
    <col min="1" max="1" width="15.54296875" bestFit="1" customWidth="1"/>
  </cols>
  <sheetData>
    <row r="1" spans="1:15" s="3" customFormat="1" x14ac:dyDescent="0.35">
      <c r="A1" s="4" t="s">
        <v>34</v>
      </c>
      <c r="B1" s="37" t="s">
        <v>35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x14ac:dyDescent="0.35">
      <c r="A2" s="5" t="s">
        <v>1</v>
      </c>
      <c r="B2" s="33" t="s">
        <v>36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s="3" customFormat="1" x14ac:dyDescent="0.35">
      <c r="A3" s="4" t="s">
        <v>37</v>
      </c>
      <c r="B3" s="37" t="s">
        <v>38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s="2" customFormat="1" x14ac:dyDescent="0.35">
      <c r="A4" s="34" t="s">
        <v>39</v>
      </c>
      <c r="B4" s="33" t="s">
        <v>40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15" x14ac:dyDescent="0.35">
      <c r="A5" s="35"/>
      <c r="B5" s="33" t="s">
        <v>41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x14ac:dyDescent="0.35">
      <c r="A6" s="35"/>
      <c r="B6" s="33" t="s">
        <v>42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1:15" x14ac:dyDescent="0.35">
      <c r="A7" s="36"/>
      <c r="B7" s="33" t="s">
        <v>43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</row>
  </sheetData>
  <sheetProtection algorithmName="SHA-512" hashValue="iFnHVIPRwtVGVbjxjfJoEN9tTzTI8s3sp6XSoTea8TpL8dCAdGAuWweOlIHt7H8cQiGkT+UksKBgUWsIKfiQvA==" saltValue="P+dGVLzx/awl9EjG0f8fVA==" spinCount="100000" sheet="1" objects="1" scenarios="1"/>
  <mergeCells count="8">
    <mergeCell ref="B7:O7"/>
    <mergeCell ref="A4:A7"/>
    <mergeCell ref="B3:O3"/>
    <mergeCell ref="B1:O1"/>
    <mergeCell ref="B2:O2"/>
    <mergeCell ref="B4:O4"/>
    <mergeCell ref="B5:O5"/>
    <mergeCell ref="B6:O6"/>
  </mergeCells>
  <hyperlinks>
    <hyperlink ref="A1" location="Catégories!A1" display="Catégories: " xr:uid="{DEEF74F7-393F-46AF-9C1A-114E711A3FC9}"/>
    <hyperlink ref="A2" location="Plan!A1" display="Plan: " xr:uid="{F440650B-FE7F-4234-89C1-027ABB1C25B7}"/>
    <hyperlink ref="A3" location="'Vue d''ensemble'!A1" display="Vue d'ensemble:" xr:uid="{C4986340-BBA6-4EB7-85C5-01E4F25627A6}"/>
    <hyperlink ref="A4:A7" location="Jan!A1" display="Onglets mensuels: " xr:uid="{20D4F6E7-15F2-42B0-B406-A6F606AC4695}"/>
  </hyperlink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CE861-097C-4334-B01E-2030413C2253}">
  <sheetPr>
    <tabColor rgb="FFFFC000"/>
  </sheetPr>
  <dimension ref="A1:J53"/>
  <sheetViews>
    <sheetView zoomScale="78" zoomScaleNormal="78" workbookViewId="0">
      <selection activeCell="E4" sqref="E4:E16"/>
    </sheetView>
  </sheetViews>
  <sheetFormatPr baseColWidth="10" defaultRowHeight="14.5" x14ac:dyDescent="0.35"/>
  <cols>
    <col min="1" max="1" width="30.1796875" style="7" bestFit="1" customWidth="1"/>
    <col min="2" max="2" width="10.90625" style="29"/>
    <col min="3" max="3" width="17" style="7" bestFit="1" customWidth="1"/>
    <col min="4" max="16384" width="10.90625" style="7"/>
  </cols>
  <sheetData>
    <row r="1" spans="1:7" x14ac:dyDescent="0.35">
      <c r="A1" s="7" t="s">
        <v>27</v>
      </c>
    </row>
    <row r="3" spans="1:7" x14ac:dyDescent="0.35">
      <c r="A3" s="30" t="s">
        <v>55</v>
      </c>
      <c r="B3" s="31" t="s">
        <v>59</v>
      </c>
      <c r="C3" s="30" t="s">
        <v>60</v>
      </c>
      <c r="D3" s="7" t="s">
        <v>55</v>
      </c>
      <c r="E3" s="7" t="s">
        <v>59</v>
      </c>
    </row>
    <row r="4" spans="1:7" x14ac:dyDescent="0.35">
      <c r="D4" s="7" t="s">
        <v>8</v>
      </c>
      <c r="E4" s="32">
        <f>SUMIF(Tabelle2151618192021[Catégorie],"Restaurants/Cafés",Tabelle2151618192021[Montant])</f>
        <v>0</v>
      </c>
      <c r="F4" s="16"/>
      <c r="G4" s="16"/>
    </row>
    <row r="5" spans="1:7" x14ac:dyDescent="0.35">
      <c r="D5" s="7" t="s">
        <v>10</v>
      </c>
      <c r="E5" s="32">
        <f>SUMIF(Tabelle2151618192021[Catégorie],"Loisirs",Tabelle2151618192021[Montant])</f>
        <v>0</v>
      </c>
      <c r="F5" s="16"/>
    </row>
    <row r="6" spans="1:7" x14ac:dyDescent="0.35">
      <c r="D6" s="7" t="s">
        <v>11</v>
      </c>
      <c r="E6" s="32">
        <f>SUMIF(Tabelle2151618192021[Catégorie],"Cadeaux",Tabelle2151618192021[Montant])</f>
        <v>0</v>
      </c>
    </row>
    <row r="7" spans="1:7" x14ac:dyDescent="0.35">
      <c r="D7" s="7" t="s">
        <v>12</v>
      </c>
      <c r="E7" s="32">
        <f>SUMIF(Tabelle2151618192021[Catégorie],"Alimentation",Tabelle2151618192021[Montant])</f>
        <v>0</v>
      </c>
    </row>
    <row r="8" spans="1:7" x14ac:dyDescent="0.35">
      <c r="D8" s="7" t="s">
        <v>13</v>
      </c>
      <c r="E8" s="32">
        <f>SUMIF(Tabelle2151618192021[Catégorie],"Assurances",Tabelle2151618192021[Montant])</f>
        <v>0</v>
      </c>
      <c r="F8" s="16"/>
    </row>
    <row r="9" spans="1:7" x14ac:dyDescent="0.35">
      <c r="D9" s="7" t="s">
        <v>0</v>
      </c>
      <c r="E9" s="32">
        <f>SUMIF(Tabelle2151618192021[Catégorie],"Internet",Tabelle2151618192021[Montant])</f>
        <v>0</v>
      </c>
      <c r="F9" s="16"/>
    </row>
    <row r="10" spans="1:7" x14ac:dyDescent="0.35">
      <c r="D10" s="7" t="s">
        <v>14</v>
      </c>
      <c r="E10" s="32">
        <f>SUMIF(Tabelle2151618192021[Catégorie],"Autres dépenses",Tabelle2151618192021[Montant])</f>
        <v>0</v>
      </c>
      <c r="F10" s="16"/>
    </row>
    <row r="11" spans="1:7" x14ac:dyDescent="0.35">
      <c r="D11" s="7" t="s">
        <v>7</v>
      </c>
      <c r="E11" s="32">
        <f>SUMIF(Tabelle2151618192021[Catégorie],"Autres revenus",Tabelle2151618192021[Montant])</f>
        <v>0</v>
      </c>
    </row>
    <row r="12" spans="1:7" x14ac:dyDescent="0.35">
      <c r="D12" s="7" t="s">
        <v>15</v>
      </c>
      <c r="E12" s="32">
        <f>SUMIF(Tabelle2151618192021[Catégorie],"Téléphone",Tabelle2151618192021[Montant])</f>
        <v>0</v>
      </c>
      <c r="F12" s="16"/>
    </row>
    <row r="13" spans="1:7" x14ac:dyDescent="0.35">
      <c r="D13" s="7" t="s">
        <v>16</v>
      </c>
      <c r="E13" s="32">
        <f>SUMIF(Tabelle2151618192021[Catégorie],"Loyer",Tabelle2151618192021[Montant])</f>
        <v>0</v>
      </c>
    </row>
    <row r="14" spans="1:7" x14ac:dyDescent="0.35">
      <c r="D14" s="7" t="s">
        <v>22</v>
      </c>
      <c r="E14" s="32">
        <f>SUMIF(Tabelle2151618192021[Catégorie],"Salaire",Tabelle2151618192021[Montant])</f>
        <v>0</v>
      </c>
      <c r="F14" s="16"/>
    </row>
    <row r="15" spans="1:7" x14ac:dyDescent="0.35">
      <c r="D15" s="7" t="s">
        <v>17</v>
      </c>
      <c r="E15" s="32">
        <f>SUMIF(Tabelle2151618192021[Catégorie],"Épargne",Tabelle2151618192021[Montant])</f>
        <v>0</v>
      </c>
      <c r="F15" s="16"/>
    </row>
    <row r="16" spans="1:7" x14ac:dyDescent="0.35">
      <c r="D16" s="7" t="s">
        <v>18</v>
      </c>
      <c r="E16" s="32">
        <f>SUMIF(Tabelle2151618192021[Catégorie],"Achats",Tabelle2151618192021[Montant])</f>
        <v>0</v>
      </c>
      <c r="F16" s="16"/>
    </row>
    <row r="17" spans="5:6" x14ac:dyDescent="0.35">
      <c r="E17" s="16"/>
      <c r="F17" s="16"/>
    </row>
    <row r="18" spans="5:6" x14ac:dyDescent="0.35">
      <c r="E18" s="16"/>
      <c r="F18" s="16"/>
    </row>
    <row r="19" spans="5:6" x14ac:dyDescent="0.35">
      <c r="E19" s="16"/>
    </row>
    <row r="20" spans="5:6" x14ac:dyDescent="0.35">
      <c r="E20" s="16"/>
      <c r="F20" s="16"/>
    </row>
    <row r="33" spans="7:10" x14ac:dyDescent="0.35">
      <c r="J33" s="16"/>
    </row>
    <row r="34" spans="7:10" x14ac:dyDescent="0.35">
      <c r="G34" s="16"/>
      <c r="J34" s="16"/>
    </row>
    <row r="35" spans="7:10" x14ac:dyDescent="0.35">
      <c r="G35" s="16"/>
      <c r="J35" s="16"/>
    </row>
    <row r="36" spans="7:10" x14ac:dyDescent="0.35">
      <c r="G36" s="16"/>
      <c r="J36" s="16"/>
    </row>
    <row r="37" spans="7:10" x14ac:dyDescent="0.35">
      <c r="G37" s="16"/>
      <c r="J37" s="16"/>
    </row>
    <row r="38" spans="7:10" x14ac:dyDescent="0.35">
      <c r="G38" s="16"/>
      <c r="J38" s="16"/>
    </row>
    <row r="39" spans="7:10" x14ac:dyDescent="0.35">
      <c r="G39" s="16"/>
      <c r="J39" s="16"/>
    </row>
    <row r="40" spans="7:10" x14ac:dyDescent="0.35">
      <c r="G40" s="16"/>
      <c r="J40" s="16"/>
    </row>
    <row r="41" spans="7:10" x14ac:dyDescent="0.35">
      <c r="G41" s="16"/>
      <c r="J41" s="16"/>
    </row>
    <row r="42" spans="7:10" x14ac:dyDescent="0.35">
      <c r="G42" s="16"/>
      <c r="J42" s="16"/>
    </row>
    <row r="43" spans="7:10" x14ac:dyDescent="0.35">
      <c r="G43" s="16"/>
      <c r="J43" s="16"/>
    </row>
    <row r="44" spans="7:10" x14ac:dyDescent="0.35">
      <c r="G44" s="16"/>
      <c r="J44" s="16"/>
    </row>
    <row r="45" spans="7:10" x14ac:dyDescent="0.35">
      <c r="G45" s="16"/>
      <c r="J45" s="16"/>
    </row>
    <row r="46" spans="7:10" x14ac:dyDescent="0.35">
      <c r="G46" s="16"/>
      <c r="J46" s="16"/>
    </row>
    <row r="47" spans="7:10" x14ac:dyDescent="0.35">
      <c r="G47" s="16"/>
      <c r="J47" s="16"/>
    </row>
    <row r="48" spans="7:10" x14ac:dyDescent="0.35">
      <c r="G48" s="16"/>
      <c r="J48" s="16"/>
    </row>
    <row r="49" spans="7:7" x14ac:dyDescent="0.35">
      <c r="G49" s="16"/>
    </row>
    <row r="52" spans="7:7" x14ac:dyDescent="0.35">
      <c r="G52" s="16"/>
    </row>
    <row r="53" spans="7:7" x14ac:dyDescent="0.35">
      <c r="G53" s="16"/>
    </row>
  </sheetData>
  <sheetProtection algorithmName="SHA-512" hashValue="i4FbGKFvpS+8iThOKA82BGS185soeMfHwEOLvkiFFtJZK5P7nc+IkLK0B3g+XS1SqlTULpm0Uoxt98WpWbwFNQ==" saltValue="37FfKgYVEUJtSlVM3wHw/g==" spinCount="100000" sheet="1" objects="1" scenarios="1"/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202202E-33DE-42BB-8135-1C43FF693963}">
          <x14:formula1>
            <xm:f>Catégories!$A$2:$A$49</xm:f>
          </x14:formula1>
          <xm:sqref>A4:A61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02A92-262B-494C-8150-D4A097C3D1F2}">
  <sheetPr>
    <tabColor rgb="FFFFC000"/>
  </sheetPr>
  <dimension ref="A1:J53"/>
  <sheetViews>
    <sheetView zoomScale="78" zoomScaleNormal="78" workbookViewId="0">
      <selection activeCell="E4" sqref="E4:E16"/>
    </sheetView>
  </sheetViews>
  <sheetFormatPr baseColWidth="10" defaultRowHeight="14.5" x14ac:dyDescent="0.35"/>
  <cols>
    <col min="1" max="1" width="30.1796875" style="7" bestFit="1" customWidth="1"/>
    <col min="2" max="2" width="10.90625" style="29"/>
    <col min="3" max="3" width="17" style="7" bestFit="1" customWidth="1"/>
    <col min="4" max="16384" width="10.90625" style="7"/>
  </cols>
  <sheetData>
    <row r="1" spans="1:7" x14ac:dyDescent="0.35">
      <c r="A1" s="7" t="s">
        <v>28</v>
      </c>
    </row>
    <row r="3" spans="1:7" x14ac:dyDescent="0.35">
      <c r="A3" s="30" t="s">
        <v>55</v>
      </c>
      <c r="B3" s="31" t="s">
        <v>59</v>
      </c>
      <c r="C3" s="30" t="s">
        <v>60</v>
      </c>
      <c r="D3" s="7" t="s">
        <v>55</v>
      </c>
      <c r="E3" s="7" t="s">
        <v>59</v>
      </c>
    </row>
    <row r="4" spans="1:7" x14ac:dyDescent="0.35">
      <c r="D4" s="7" t="s">
        <v>8</v>
      </c>
      <c r="E4" s="32">
        <f>SUMIF(Tabelle215161819202122[Catégorie],"Restaurants/Cafés",Tabelle215161819202122[Montant])</f>
        <v>0</v>
      </c>
      <c r="F4" s="16"/>
      <c r="G4" s="16"/>
    </row>
    <row r="5" spans="1:7" x14ac:dyDescent="0.35">
      <c r="D5" s="7" t="s">
        <v>10</v>
      </c>
      <c r="E5" s="32">
        <f>SUMIF(Tabelle215161819202122[Catégorie],"Loisirs",Tabelle215161819202122[Montant])</f>
        <v>0</v>
      </c>
      <c r="F5" s="16"/>
    </row>
    <row r="6" spans="1:7" x14ac:dyDescent="0.35">
      <c r="D6" s="7" t="s">
        <v>11</v>
      </c>
      <c r="E6" s="32">
        <f>SUMIF(Tabelle215161819202122[Catégorie],"Cadeaux",Tabelle215161819202122[Montant])</f>
        <v>0</v>
      </c>
    </row>
    <row r="7" spans="1:7" x14ac:dyDescent="0.35">
      <c r="D7" s="7" t="s">
        <v>12</v>
      </c>
      <c r="E7" s="32">
        <f>SUMIF(Tabelle215161819202122[Catégorie],"Alimentation",Tabelle215161819202122[Montant])</f>
        <v>0</v>
      </c>
    </row>
    <row r="8" spans="1:7" x14ac:dyDescent="0.35">
      <c r="D8" s="7" t="s">
        <v>13</v>
      </c>
      <c r="E8" s="32">
        <f>SUMIF(Tabelle215161819202122[Catégorie],"Assurances",Tabelle215161819202122[Montant])</f>
        <v>0</v>
      </c>
      <c r="F8" s="16"/>
    </row>
    <row r="9" spans="1:7" x14ac:dyDescent="0.35">
      <c r="D9" s="7" t="s">
        <v>0</v>
      </c>
      <c r="E9" s="32">
        <f>SUMIF(Tabelle215161819202122[Catégorie],"Internet",Tabelle215161819202122[Montant])</f>
        <v>0</v>
      </c>
      <c r="F9" s="16"/>
    </row>
    <row r="10" spans="1:7" x14ac:dyDescent="0.35">
      <c r="D10" s="7" t="s">
        <v>14</v>
      </c>
      <c r="E10" s="32">
        <f>SUMIF(Tabelle215161819202122[Catégorie],"Autres dépenses",Tabelle215161819202122[Montant])</f>
        <v>0</v>
      </c>
      <c r="F10" s="16"/>
    </row>
    <row r="11" spans="1:7" x14ac:dyDescent="0.35">
      <c r="D11" s="7" t="s">
        <v>7</v>
      </c>
      <c r="E11" s="32">
        <f>SUMIF(Tabelle215161819202122[Catégorie],"Autres revenus",Tabelle215161819202122[Montant])</f>
        <v>0</v>
      </c>
    </row>
    <row r="12" spans="1:7" x14ac:dyDescent="0.35">
      <c r="D12" s="7" t="s">
        <v>15</v>
      </c>
      <c r="E12" s="32">
        <f>SUMIF(Tabelle215161819202122[Catégorie],"Téléphone",Tabelle215161819202122[Montant])</f>
        <v>0</v>
      </c>
      <c r="F12" s="16"/>
    </row>
    <row r="13" spans="1:7" x14ac:dyDescent="0.35">
      <c r="D13" s="7" t="s">
        <v>16</v>
      </c>
      <c r="E13" s="32">
        <f>SUMIF(Tabelle215161819202122[Catégorie],"Loyer",Tabelle215161819202122[Montant])</f>
        <v>0</v>
      </c>
    </row>
    <row r="14" spans="1:7" x14ac:dyDescent="0.35">
      <c r="D14" s="7" t="s">
        <v>22</v>
      </c>
      <c r="E14" s="32">
        <f>SUMIF(Tabelle215161819202122[Catégorie],"Salaire",Tabelle215161819202122[Montant])</f>
        <v>0</v>
      </c>
      <c r="F14" s="16"/>
    </row>
    <row r="15" spans="1:7" x14ac:dyDescent="0.35">
      <c r="D15" s="7" t="s">
        <v>17</v>
      </c>
      <c r="E15" s="32">
        <f>SUMIF(Tabelle215161819202122[Catégorie],"Épargne",Tabelle215161819202122[Montant])</f>
        <v>0</v>
      </c>
      <c r="F15" s="16"/>
    </row>
    <row r="16" spans="1:7" x14ac:dyDescent="0.35">
      <c r="D16" s="7" t="s">
        <v>18</v>
      </c>
      <c r="E16" s="32">
        <f>SUMIF(Tabelle215161819202122[Catégorie],"Achats",Tabelle215161819202122[Montant])</f>
        <v>0</v>
      </c>
      <c r="F16" s="16"/>
    </row>
    <row r="17" spans="5:6" x14ac:dyDescent="0.35">
      <c r="E17" s="16"/>
      <c r="F17" s="16"/>
    </row>
    <row r="18" spans="5:6" x14ac:dyDescent="0.35">
      <c r="E18" s="16"/>
      <c r="F18" s="16"/>
    </row>
    <row r="19" spans="5:6" x14ac:dyDescent="0.35">
      <c r="E19" s="16"/>
    </row>
    <row r="20" spans="5:6" x14ac:dyDescent="0.35">
      <c r="E20" s="16"/>
      <c r="F20" s="16"/>
    </row>
    <row r="33" spans="7:10" x14ac:dyDescent="0.35">
      <c r="J33" s="16"/>
    </row>
    <row r="34" spans="7:10" x14ac:dyDescent="0.35">
      <c r="G34" s="16"/>
      <c r="J34" s="16"/>
    </row>
    <row r="35" spans="7:10" x14ac:dyDescent="0.35">
      <c r="G35" s="16"/>
      <c r="J35" s="16"/>
    </row>
    <row r="36" spans="7:10" x14ac:dyDescent="0.35">
      <c r="G36" s="16"/>
      <c r="J36" s="16"/>
    </row>
    <row r="37" spans="7:10" x14ac:dyDescent="0.35">
      <c r="G37" s="16"/>
      <c r="J37" s="16"/>
    </row>
    <row r="38" spans="7:10" x14ac:dyDescent="0.35">
      <c r="G38" s="16"/>
      <c r="J38" s="16"/>
    </row>
    <row r="39" spans="7:10" x14ac:dyDescent="0.35">
      <c r="G39" s="16"/>
      <c r="J39" s="16"/>
    </row>
    <row r="40" spans="7:10" x14ac:dyDescent="0.35">
      <c r="G40" s="16"/>
      <c r="J40" s="16"/>
    </row>
    <row r="41" spans="7:10" x14ac:dyDescent="0.35">
      <c r="G41" s="16"/>
      <c r="J41" s="16"/>
    </row>
    <row r="42" spans="7:10" x14ac:dyDescent="0.35">
      <c r="G42" s="16"/>
      <c r="J42" s="16"/>
    </row>
    <row r="43" spans="7:10" x14ac:dyDescent="0.35">
      <c r="G43" s="16"/>
      <c r="J43" s="16"/>
    </row>
    <row r="44" spans="7:10" x14ac:dyDescent="0.35">
      <c r="G44" s="16"/>
      <c r="J44" s="16"/>
    </row>
    <row r="45" spans="7:10" x14ac:dyDescent="0.35">
      <c r="G45" s="16"/>
      <c r="J45" s="16"/>
    </row>
    <row r="46" spans="7:10" x14ac:dyDescent="0.35">
      <c r="G46" s="16"/>
      <c r="J46" s="16"/>
    </row>
    <row r="47" spans="7:10" x14ac:dyDescent="0.35">
      <c r="G47" s="16"/>
      <c r="J47" s="16"/>
    </row>
    <row r="48" spans="7:10" x14ac:dyDescent="0.35">
      <c r="G48" s="16"/>
      <c r="J48" s="16"/>
    </row>
    <row r="49" spans="7:7" x14ac:dyDescent="0.35">
      <c r="G49" s="16"/>
    </row>
    <row r="52" spans="7:7" x14ac:dyDescent="0.35">
      <c r="G52" s="16"/>
    </row>
    <row r="53" spans="7:7" x14ac:dyDescent="0.35">
      <c r="G53" s="16"/>
    </row>
  </sheetData>
  <sheetProtection algorithmName="SHA-512" hashValue="bznPKO3Xq26M5i85WhoVKpgIwRM1zPGTVWVY8/Vi7HQc8NaFpmxBKdcygFjX4yRayUN/wLTCfX/rGGohAuaOsQ==" saltValue="rMdTde2/YR9RN+l2b8SS1Q==" spinCount="100000" sheet="1" objects="1" scenarios="1"/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1425DAD-CA39-413F-AB47-4B885695DB98}">
          <x14:formula1>
            <xm:f>Catégories!$A$2:$A$49</xm:f>
          </x14:formula1>
          <xm:sqref>A4:A61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1EFFD-7BAD-43C9-9C33-D3DA9FB5F370}">
  <sheetPr>
    <tabColor rgb="FFFFC000"/>
  </sheetPr>
  <dimension ref="A1:J53"/>
  <sheetViews>
    <sheetView zoomScale="78" zoomScaleNormal="78" workbookViewId="0">
      <selection activeCell="E4" sqref="E4:E16"/>
    </sheetView>
  </sheetViews>
  <sheetFormatPr baseColWidth="10" defaultRowHeight="14.5" x14ac:dyDescent="0.35"/>
  <cols>
    <col min="1" max="1" width="30.1796875" style="7" bestFit="1" customWidth="1"/>
    <col min="2" max="2" width="10.90625" style="29"/>
    <col min="3" max="3" width="17" style="7" bestFit="1" customWidth="1"/>
    <col min="4" max="16384" width="10.90625" style="7"/>
  </cols>
  <sheetData>
    <row r="1" spans="1:7" x14ac:dyDescent="0.35">
      <c r="A1" s="7" t="s">
        <v>29</v>
      </c>
    </row>
    <row r="3" spans="1:7" x14ac:dyDescent="0.35">
      <c r="A3" s="30" t="s">
        <v>55</v>
      </c>
      <c r="B3" s="31" t="s">
        <v>59</v>
      </c>
      <c r="C3" s="30" t="s">
        <v>60</v>
      </c>
      <c r="D3" s="7" t="s">
        <v>55</v>
      </c>
      <c r="E3" s="7" t="s">
        <v>59</v>
      </c>
    </row>
    <row r="4" spans="1:7" x14ac:dyDescent="0.35">
      <c r="D4" s="7" t="s">
        <v>8</v>
      </c>
      <c r="E4" s="32">
        <f>SUMIF(Tabelle21516181920212223[Catégorie],"Restaurants/Cafés",Tabelle21516181920212223[Montant])</f>
        <v>0</v>
      </c>
      <c r="F4" s="16"/>
      <c r="G4" s="16"/>
    </row>
    <row r="5" spans="1:7" x14ac:dyDescent="0.35">
      <c r="D5" s="7" t="s">
        <v>10</v>
      </c>
      <c r="E5" s="32">
        <f>SUMIF(Tabelle21516181920212223[Catégorie],"Loisirs",Tabelle21516181920212223[Montant])</f>
        <v>0</v>
      </c>
      <c r="F5" s="16"/>
    </row>
    <row r="6" spans="1:7" x14ac:dyDescent="0.35">
      <c r="D6" s="7" t="s">
        <v>11</v>
      </c>
      <c r="E6" s="32">
        <f>SUMIF(Tabelle21516181920212223[Catégorie],"Cadeaux",Tabelle21516181920212223[Montant])</f>
        <v>0</v>
      </c>
    </row>
    <row r="7" spans="1:7" x14ac:dyDescent="0.35">
      <c r="D7" s="7" t="s">
        <v>12</v>
      </c>
      <c r="E7" s="32">
        <f>SUMIF(Tabelle21516181920212223[Catégorie],"Alimentation",Tabelle21516181920212223[Montant])</f>
        <v>0</v>
      </c>
    </row>
    <row r="8" spans="1:7" x14ac:dyDescent="0.35">
      <c r="D8" s="7" t="s">
        <v>13</v>
      </c>
      <c r="E8" s="32">
        <f>SUMIF(Tabelle21516181920212223[Catégorie],"Assurances",Tabelle21516181920212223[Montant])</f>
        <v>0</v>
      </c>
      <c r="F8" s="16"/>
    </row>
    <row r="9" spans="1:7" x14ac:dyDescent="0.35">
      <c r="D9" s="7" t="s">
        <v>0</v>
      </c>
      <c r="E9" s="32">
        <f>SUMIF(Tabelle21516181920212223[Catégorie],"Internet",Tabelle21516181920212223[Montant])</f>
        <v>0</v>
      </c>
      <c r="F9" s="16"/>
    </row>
    <row r="10" spans="1:7" x14ac:dyDescent="0.35">
      <c r="D10" s="7" t="s">
        <v>14</v>
      </c>
      <c r="E10" s="32">
        <f>SUMIF(Tabelle21516181920212223[Catégorie],"Autres dépenses",Tabelle21516181920212223[Montant])</f>
        <v>0</v>
      </c>
      <c r="F10" s="16"/>
    </row>
    <row r="11" spans="1:7" x14ac:dyDescent="0.35">
      <c r="D11" s="7" t="s">
        <v>7</v>
      </c>
      <c r="E11" s="32">
        <f>SUMIF(Tabelle21516181920212223[Catégorie],"Autres revenus",Tabelle21516181920212223[Montant])</f>
        <v>0</v>
      </c>
    </row>
    <row r="12" spans="1:7" x14ac:dyDescent="0.35">
      <c r="D12" s="7" t="s">
        <v>15</v>
      </c>
      <c r="E12" s="32">
        <f>SUMIF(Tabelle21516181920212223[Catégorie],"Téléphone",Tabelle21516181920212223[Montant])</f>
        <v>0</v>
      </c>
      <c r="F12" s="16"/>
    </row>
    <row r="13" spans="1:7" x14ac:dyDescent="0.35">
      <c r="D13" s="7" t="s">
        <v>16</v>
      </c>
      <c r="E13" s="32">
        <f>SUMIF(Tabelle21516181920212223[Catégorie],"Loyer",Tabelle21516181920212223[Montant])</f>
        <v>0</v>
      </c>
    </row>
    <row r="14" spans="1:7" x14ac:dyDescent="0.35">
      <c r="D14" s="7" t="s">
        <v>22</v>
      </c>
      <c r="E14" s="32">
        <f>SUMIF(Tabelle21516181920212223[Catégorie],"Salaire",Tabelle21516181920212223[Montant])</f>
        <v>0</v>
      </c>
      <c r="F14" s="16"/>
    </row>
    <row r="15" spans="1:7" x14ac:dyDescent="0.35">
      <c r="D15" s="7" t="s">
        <v>17</v>
      </c>
      <c r="E15" s="32">
        <f>SUMIF(Tabelle21516181920212223[Catégorie],"Épargne",Tabelle21516181920212223[Montant])</f>
        <v>0</v>
      </c>
      <c r="F15" s="16"/>
    </row>
    <row r="16" spans="1:7" x14ac:dyDescent="0.35">
      <c r="D16" s="7" t="s">
        <v>18</v>
      </c>
      <c r="E16" s="32">
        <f>SUMIF(Tabelle21516181920212223[Catégorie],"Achats",Tabelle21516181920212223[Montant])</f>
        <v>0</v>
      </c>
      <c r="F16" s="16"/>
    </row>
    <row r="17" spans="5:6" x14ac:dyDescent="0.35">
      <c r="E17" s="16"/>
      <c r="F17" s="16"/>
    </row>
    <row r="18" spans="5:6" x14ac:dyDescent="0.35">
      <c r="E18" s="16"/>
      <c r="F18" s="16"/>
    </row>
    <row r="19" spans="5:6" x14ac:dyDescent="0.35">
      <c r="E19" s="16"/>
    </row>
    <row r="20" spans="5:6" x14ac:dyDescent="0.35">
      <c r="E20" s="16"/>
      <c r="F20" s="16"/>
    </row>
    <row r="33" spans="7:10" x14ac:dyDescent="0.35">
      <c r="J33" s="16"/>
    </row>
    <row r="34" spans="7:10" x14ac:dyDescent="0.35">
      <c r="G34" s="16"/>
      <c r="J34" s="16"/>
    </row>
    <row r="35" spans="7:10" x14ac:dyDescent="0.35">
      <c r="G35" s="16"/>
      <c r="J35" s="16"/>
    </row>
    <row r="36" spans="7:10" x14ac:dyDescent="0.35">
      <c r="G36" s="16"/>
      <c r="J36" s="16"/>
    </row>
    <row r="37" spans="7:10" x14ac:dyDescent="0.35">
      <c r="G37" s="16"/>
      <c r="J37" s="16"/>
    </row>
    <row r="38" spans="7:10" x14ac:dyDescent="0.35">
      <c r="G38" s="16"/>
      <c r="J38" s="16"/>
    </row>
    <row r="39" spans="7:10" x14ac:dyDescent="0.35">
      <c r="G39" s="16"/>
      <c r="J39" s="16"/>
    </row>
    <row r="40" spans="7:10" x14ac:dyDescent="0.35">
      <c r="G40" s="16"/>
      <c r="J40" s="16"/>
    </row>
    <row r="41" spans="7:10" x14ac:dyDescent="0.35">
      <c r="G41" s="16"/>
      <c r="J41" s="16"/>
    </row>
    <row r="42" spans="7:10" x14ac:dyDescent="0.35">
      <c r="G42" s="16"/>
      <c r="J42" s="16"/>
    </row>
    <row r="43" spans="7:10" x14ac:dyDescent="0.35">
      <c r="G43" s="16"/>
      <c r="J43" s="16"/>
    </row>
    <row r="44" spans="7:10" x14ac:dyDescent="0.35">
      <c r="G44" s="16"/>
      <c r="J44" s="16"/>
    </row>
    <row r="45" spans="7:10" x14ac:dyDescent="0.35">
      <c r="G45" s="16"/>
      <c r="J45" s="16"/>
    </row>
    <row r="46" spans="7:10" x14ac:dyDescent="0.35">
      <c r="G46" s="16"/>
      <c r="J46" s="16"/>
    </row>
    <row r="47" spans="7:10" x14ac:dyDescent="0.35">
      <c r="G47" s="16"/>
      <c r="J47" s="16"/>
    </row>
    <row r="48" spans="7:10" x14ac:dyDescent="0.35">
      <c r="G48" s="16"/>
      <c r="J48" s="16"/>
    </row>
    <row r="49" spans="7:7" x14ac:dyDescent="0.35">
      <c r="G49" s="16"/>
    </row>
    <row r="52" spans="7:7" x14ac:dyDescent="0.35">
      <c r="G52" s="16"/>
    </row>
    <row r="53" spans="7:7" x14ac:dyDescent="0.35">
      <c r="G53" s="16"/>
    </row>
  </sheetData>
  <sheetProtection algorithmName="SHA-512" hashValue="1HeFTOrYesrqFBMIsjiKZ/6ERiklNA/IcT7172UzDhx8T/Cfg/aeJWkaB/c5zb2os5jfIJ0IVpzwDQBcRKO2lg==" saltValue="LQW7TC28KHHtio9ixZ7A9w==" spinCount="100000" sheet="1" objects="1" scenarios="1"/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C351784-DBE0-4B24-A2EF-8B22E5C53C4F}">
          <x14:formula1>
            <xm:f>Catégories!$A$2:$A$49</xm:f>
          </x14:formula1>
          <xm:sqref>A4:A61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FF23B-E8AE-438D-97AF-5F09BCA65DD4}">
  <sheetPr>
    <tabColor rgb="FFFFC000"/>
  </sheetPr>
  <dimension ref="A1:J53"/>
  <sheetViews>
    <sheetView zoomScale="78" zoomScaleNormal="78" workbookViewId="0">
      <selection activeCell="E4" sqref="E4:E16"/>
    </sheetView>
  </sheetViews>
  <sheetFormatPr baseColWidth="10" defaultRowHeight="14.5" x14ac:dyDescent="0.35"/>
  <cols>
    <col min="1" max="1" width="30.1796875" style="7" bestFit="1" customWidth="1"/>
    <col min="2" max="2" width="10.90625" style="29"/>
    <col min="3" max="3" width="17" style="7" bestFit="1" customWidth="1"/>
    <col min="4" max="16384" width="10.90625" style="7"/>
  </cols>
  <sheetData>
    <row r="1" spans="1:7" x14ac:dyDescent="0.35">
      <c r="A1" s="7" t="s">
        <v>30</v>
      </c>
    </row>
    <row r="3" spans="1:7" x14ac:dyDescent="0.35">
      <c r="A3" s="30" t="s">
        <v>55</v>
      </c>
      <c r="B3" s="31" t="s">
        <v>59</v>
      </c>
      <c r="C3" s="30" t="s">
        <v>60</v>
      </c>
      <c r="D3" s="7" t="s">
        <v>55</v>
      </c>
      <c r="E3" s="7" t="s">
        <v>59</v>
      </c>
    </row>
    <row r="4" spans="1:7" x14ac:dyDescent="0.35">
      <c r="D4" s="7" t="s">
        <v>8</v>
      </c>
      <c r="E4" s="32">
        <f>SUMIF(Tabelle2151618192021222324[Catégorie],"Restaurants/Cafés",Tabelle2151618192021222324[Montant])</f>
        <v>0</v>
      </c>
      <c r="F4" s="16"/>
      <c r="G4" s="16"/>
    </row>
    <row r="5" spans="1:7" x14ac:dyDescent="0.35">
      <c r="D5" s="7" t="s">
        <v>10</v>
      </c>
      <c r="E5" s="32">
        <f>SUMIF(Tabelle2151618192021222324[Catégorie],"Loisirs",Tabelle2151618192021222324[Montant])</f>
        <v>0</v>
      </c>
      <c r="F5" s="16"/>
    </row>
    <row r="6" spans="1:7" x14ac:dyDescent="0.35">
      <c r="D6" s="7" t="s">
        <v>11</v>
      </c>
      <c r="E6" s="32">
        <f>SUMIF(Tabelle2151618192021222324[Catégorie],"Cadeaux",Tabelle2151618192021222324[Montant])</f>
        <v>0</v>
      </c>
    </row>
    <row r="7" spans="1:7" x14ac:dyDescent="0.35">
      <c r="D7" s="7" t="s">
        <v>12</v>
      </c>
      <c r="E7" s="32">
        <f>SUMIF(Tabelle2151618192021222324[Catégorie],"Alimentation",Tabelle2151618192021222324[Montant])</f>
        <v>0</v>
      </c>
    </row>
    <row r="8" spans="1:7" x14ac:dyDescent="0.35">
      <c r="D8" s="7" t="s">
        <v>13</v>
      </c>
      <c r="E8" s="32">
        <f>SUMIF(Tabelle2151618192021222324[Catégorie],"Assurances",Tabelle2151618192021222324[Montant])</f>
        <v>0</v>
      </c>
      <c r="F8" s="16"/>
    </row>
    <row r="9" spans="1:7" x14ac:dyDescent="0.35">
      <c r="D9" s="7" t="s">
        <v>0</v>
      </c>
      <c r="E9" s="32">
        <f>SUMIF(Tabelle2151618192021222324[Catégorie],"Internet",Tabelle2151618192021222324[Montant])</f>
        <v>0</v>
      </c>
      <c r="F9" s="16"/>
    </row>
    <row r="10" spans="1:7" x14ac:dyDescent="0.35">
      <c r="D10" s="7" t="s">
        <v>14</v>
      </c>
      <c r="E10" s="32">
        <f>SUMIF(Tabelle2151618192021222324[Catégorie],"Autres dépenses",Tabelle2151618192021222324[Montant])</f>
        <v>0</v>
      </c>
      <c r="F10" s="16"/>
    </row>
    <row r="11" spans="1:7" x14ac:dyDescent="0.35">
      <c r="D11" s="7" t="s">
        <v>7</v>
      </c>
      <c r="E11" s="32">
        <f>SUMIF(Tabelle2151618192021222324[Catégorie],"Autres revenus",Tabelle2151618192021222324[Montant])</f>
        <v>0</v>
      </c>
    </row>
    <row r="12" spans="1:7" x14ac:dyDescent="0.35">
      <c r="D12" s="7" t="s">
        <v>15</v>
      </c>
      <c r="E12" s="32">
        <f>SUMIF(Tabelle2151618192021222324[Catégorie],"Téléphone",Tabelle2151618192021222324[Montant])</f>
        <v>0</v>
      </c>
      <c r="F12" s="16"/>
    </row>
    <row r="13" spans="1:7" x14ac:dyDescent="0.35">
      <c r="D13" s="7" t="s">
        <v>16</v>
      </c>
      <c r="E13" s="32">
        <f>SUMIF(Tabelle2151618192021222324[Catégorie],"Loyer",Tabelle2151618192021222324[Montant])</f>
        <v>0</v>
      </c>
    </row>
    <row r="14" spans="1:7" x14ac:dyDescent="0.35">
      <c r="D14" s="7" t="s">
        <v>22</v>
      </c>
      <c r="E14" s="32">
        <f>SUMIF(Tabelle2151618192021222324[Catégorie],"Salaire",Tabelle2151618192021222324[Montant])</f>
        <v>0</v>
      </c>
      <c r="F14" s="16"/>
    </row>
    <row r="15" spans="1:7" x14ac:dyDescent="0.35">
      <c r="D15" s="7" t="s">
        <v>17</v>
      </c>
      <c r="E15" s="32">
        <f>SUMIF(Tabelle2151618192021222324[Catégorie],"Épargne",Tabelle2151618192021222324[Montant])</f>
        <v>0</v>
      </c>
      <c r="F15" s="16"/>
    </row>
    <row r="16" spans="1:7" x14ac:dyDescent="0.35">
      <c r="D16" s="7" t="s">
        <v>18</v>
      </c>
      <c r="E16" s="32">
        <f>SUMIF(Tabelle2151618192021222324[Catégorie],"Achats",Tabelle2151618192021222324[Montant])</f>
        <v>0</v>
      </c>
      <c r="F16" s="16"/>
    </row>
    <row r="17" spans="5:6" x14ac:dyDescent="0.35">
      <c r="E17" s="16"/>
      <c r="F17" s="16"/>
    </row>
    <row r="18" spans="5:6" x14ac:dyDescent="0.35">
      <c r="E18" s="16"/>
      <c r="F18" s="16"/>
    </row>
    <row r="19" spans="5:6" x14ac:dyDescent="0.35">
      <c r="E19" s="16"/>
    </row>
    <row r="20" spans="5:6" x14ac:dyDescent="0.35">
      <c r="E20" s="16"/>
      <c r="F20" s="16"/>
    </row>
    <row r="33" spans="7:10" x14ac:dyDescent="0.35">
      <c r="J33" s="16"/>
    </row>
    <row r="34" spans="7:10" x14ac:dyDescent="0.35">
      <c r="G34" s="16"/>
      <c r="J34" s="16"/>
    </row>
    <row r="35" spans="7:10" x14ac:dyDescent="0.35">
      <c r="G35" s="16"/>
      <c r="J35" s="16"/>
    </row>
    <row r="36" spans="7:10" x14ac:dyDescent="0.35">
      <c r="G36" s="16"/>
      <c r="J36" s="16"/>
    </row>
    <row r="37" spans="7:10" x14ac:dyDescent="0.35">
      <c r="G37" s="16"/>
      <c r="J37" s="16"/>
    </row>
    <row r="38" spans="7:10" x14ac:dyDescent="0.35">
      <c r="G38" s="16"/>
      <c r="J38" s="16"/>
    </row>
    <row r="39" spans="7:10" x14ac:dyDescent="0.35">
      <c r="G39" s="16"/>
      <c r="J39" s="16"/>
    </row>
    <row r="40" spans="7:10" x14ac:dyDescent="0.35">
      <c r="G40" s="16"/>
      <c r="J40" s="16"/>
    </row>
    <row r="41" spans="7:10" x14ac:dyDescent="0.35">
      <c r="G41" s="16"/>
      <c r="J41" s="16"/>
    </row>
    <row r="42" spans="7:10" x14ac:dyDescent="0.35">
      <c r="G42" s="16"/>
      <c r="J42" s="16"/>
    </row>
    <row r="43" spans="7:10" x14ac:dyDescent="0.35">
      <c r="G43" s="16"/>
      <c r="J43" s="16"/>
    </row>
    <row r="44" spans="7:10" x14ac:dyDescent="0.35">
      <c r="G44" s="16"/>
      <c r="J44" s="16"/>
    </row>
    <row r="45" spans="7:10" x14ac:dyDescent="0.35">
      <c r="G45" s="16"/>
      <c r="J45" s="16"/>
    </row>
    <row r="46" spans="7:10" x14ac:dyDescent="0.35">
      <c r="G46" s="16"/>
      <c r="J46" s="16"/>
    </row>
    <row r="47" spans="7:10" x14ac:dyDescent="0.35">
      <c r="G47" s="16"/>
      <c r="J47" s="16"/>
    </row>
    <row r="48" spans="7:10" x14ac:dyDescent="0.35">
      <c r="G48" s="16"/>
      <c r="J48" s="16"/>
    </row>
    <row r="49" spans="7:7" x14ac:dyDescent="0.35">
      <c r="G49" s="16"/>
    </row>
    <row r="52" spans="7:7" x14ac:dyDescent="0.35">
      <c r="G52" s="16"/>
    </row>
    <row r="53" spans="7:7" x14ac:dyDescent="0.35">
      <c r="G53" s="16"/>
    </row>
  </sheetData>
  <sheetProtection algorithmName="SHA-512" hashValue="cySD9weWQkm/JHl9XkNUPe+rRy7nvYmdI0zSOa4FoM1c1BlnDNvsX+ams/3Wfk4zGcDxRWzr4ICk7quSiMJVBA==" saltValue="LYWY1T8ShK2UA6weR9MJBA==" spinCount="100000" sheet="1" objects="1" scenarios="1"/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8E66E92-5A95-4C6F-8530-005208289D25}">
          <x14:formula1>
            <xm:f>Catégories!$A$2:$A$49</xm:f>
          </x14:formula1>
          <xm:sqref>A4:A61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93645-B1E7-4BAA-83E4-9AF26F8B2A6D}">
  <sheetPr>
    <tabColor rgb="FFFFC000"/>
  </sheetPr>
  <dimension ref="A1:J53"/>
  <sheetViews>
    <sheetView zoomScale="78" zoomScaleNormal="78" workbookViewId="0">
      <selection activeCell="F32" sqref="F32"/>
    </sheetView>
  </sheetViews>
  <sheetFormatPr baseColWidth="10" defaultRowHeight="14.5" x14ac:dyDescent="0.35"/>
  <cols>
    <col min="1" max="1" width="30.1796875" style="7" bestFit="1" customWidth="1"/>
    <col min="2" max="2" width="10.90625" style="29"/>
    <col min="3" max="3" width="17" style="7" bestFit="1" customWidth="1"/>
    <col min="4" max="16384" width="10.90625" style="7"/>
  </cols>
  <sheetData>
    <row r="1" spans="1:7" x14ac:dyDescent="0.35">
      <c r="A1" s="7" t="s">
        <v>31</v>
      </c>
    </row>
    <row r="3" spans="1:7" x14ac:dyDescent="0.35">
      <c r="A3" s="30" t="s">
        <v>55</v>
      </c>
      <c r="B3" s="31" t="s">
        <v>59</v>
      </c>
      <c r="C3" s="30" t="s">
        <v>60</v>
      </c>
      <c r="D3" s="7" t="s">
        <v>55</v>
      </c>
      <c r="E3" s="7" t="s">
        <v>59</v>
      </c>
    </row>
    <row r="4" spans="1:7" x14ac:dyDescent="0.35">
      <c r="D4" s="7" t="s">
        <v>8</v>
      </c>
      <c r="E4" s="32">
        <f>SUMIF(Tabelle215161819202122232425[Catégorie],"Restaurants/Cafés",Tabelle215161819202122232425[Montant])</f>
        <v>0</v>
      </c>
      <c r="F4" s="16"/>
      <c r="G4" s="16"/>
    </row>
    <row r="5" spans="1:7" x14ac:dyDescent="0.35">
      <c r="D5" s="7" t="s">
        <v>10</v>
      </c>
      <c r="E5" s="32">
        <f>SUMIF(Tabelle215161819202122232425[Catégorie],"Loisirs",Tabelle215161819202122232425[Montant])</f>
        <v>0</v>
      </c>
      <c r="F5" s="16"/>
    </row>
    <row r="6" spans="1:7" x14ac:dyDescent="0.35">
      <c r="D6" s="7" t="s">
        <v>11</v>
      </c>
      <c r="E6" s="32">
        <f>SUMIF(Tabelle215161819202122232425[Catégorie],"Cadeaux",Tabelle215161819202122232425[Montant])</f>
        <v>0</v>
      </c>
    </row>
    <row r="7" spans="1:7" x14ac:dyDescent="0.35">
      <c r="D7" s="7" t="s">
        <v>12</v>
      </c>
      <c r="E7" s="32">
        <f>SUMIF(Tabelle215161819202122232425[Catégorie],"Alimentation",Tabelle215161819202122232425[Montant])</f>
        <v>0</v>
      </c>
    </row>
    <row r="8" spans="1:7" x14ac:dyDescent="0.35">
      <c r="D8" s="7" t="s">
        <v>13</v>
      </c>
      <c r="E8" s="32">
        <f>SUMIF(Tabelle215161819202122232425[Catégorie],"Assurances",Tabelle215161819202122232425[Montant])</f>
        <v>0</v>
      </c>
      <c r="F8" s="16"/>
    </row>
    <row r="9" spans="1:7" x14ac:dyDescent="0.35">
      <c r="D9" s="7" t="s">
        <v>0</v>
      </c>
      <c r="E9" s="32">
        <f>SUMIF(Tabelle215161819202122232425[Catégorie],"Internet",Tabelle215161819202122232425[Montant])</f>
        <v>0</v>
      </c>
      <c r="F9" s="16"/>
    </row>
    <row r="10" spans="1:7" x14ac:dyDescent="0.35">
      <c r="D10" s="7" t="s">
        <v>14</v>
      </c>
      <c r="E10" s="32">
        <f>SUMIF(Tabelle215161819202122232425[Catégorie],"Autres dépenses",Tabelle215161819202122232425[Montant])</f>
        <v>0</v>
      </c>
      <c r="F10" s="16"/>
    </row>
    <row r="11" spans="1:7" x14ac:dyDescent="0.35">
      <c r="D11" s="7" t="s">
        <v>7</v>
      </c>
      <c r="E11" s="32">
        <f>SUMIF(Tabelle215161819202122232425[Catégorie],"Autres revenus",Tabelle215161819202122232425[Montant])</f>
        <v>0</v>
      </c>
    </row>
    <row r="12" spans="1:7" x14ac:dyDescent="0.35">
      <c r="D12" s="7" t="s">
        <v>15</v>
      </c>
      <c r="E12" s="32">
        <f>SUMIF(Tabelle215161819202122232425[Catégorie],"Téléphone",Tabelle215161819202122232425[Montant])</f>
        <v>0</v>
      </c>
      <c r="F12" s="16"/>
    </row>
    <row r="13" spans="1:7" x14ac:dyDescent="0.35">
      <c r="D13" s="7" t="s">
        <v>16</v>
      </c>
      <c r="E13" s="32">
        <f>SUMIF(Tabelle215161819202122232425[Catégorie],"Loyer",Tabelle215161819202122232425[Montant])</f>
        <v>0</v>
      </c>
    </row>
    <row r="14" spans="1:7" x14ac:dyDescent="0.35">
      <c r="D14" s="7" t="s">
        <v>22</v>
      </c>
      <c r="E14" s="32">
        <f>SUMIF(Tabelle215161819202122232425[Catégorie],"Salaire",Tabelle215161819202122232425[Montant])</f>
        <v>0</v>
      </c>
      <c r="F14" s="16"/>
    </row>
    <row r="15" spans="1:7" x14ac:dyDescent="0.35">
      <c r="D15" s="7" t="s">
        <v>17</v>
      </c>
      <c r="E15" s="32">
        <f>SUMIF(Tabelle215161819202122232425[Catégorie],"Épargne",Tabelle215161819202122232425[Montant])</f>
        <v>0</v>
      </c>
      <c r="F15" s="16"/>
    </row>
    <row r="16" spans="1:7" x14ac:dyDescent="0.35">
      <c r="D16" s="7" t="s">
        <v>18</v>
      </c>
      <c r="E16" s="32">
        <f>SUMIF(Tabelle215161819202122232425[Catégorie],"Achats",Tabelle215161819202122232425[Montant])</f>
        <v>0</v>
      </c>
      <c r="F16" s="16"/>
    </row>
    <row r="17" spans="5:6" x14ac:dyDescent="0.35">
      <c r="E17" s="16"/>
      <c r="F17" s="16"/>
    </row>
    <row r="18" spans="5:6" x14ac:dyDescent="0.35">
      <c r="E18" s="16"/>
      <c r="F18" s="16"/>
    </row>
    <row r="19" spans="5:6" x14ac:dyDescent="0.35">
      <c r="E19" s="16"/>
    </row>
    <row r="20" spans="5:6" x14ac:dyDescent="0.35">
      <c r="E20" s="16"/>
      <c r="F20" s="16"/>
    </row>
    <row r="33" spans="7:10" x14ac:dyDescent="0.35">
      <c r="J33" s="16"/>
    </row>
    <row r="34" spans="7:10" x14ac:dyDescent="0.35">
      <c r="G34" s="16"/>
      <c r="J34" s="16"/>
    </row>
    <row r="35" spans="7:10" x14ac:dyDescent="0.35">
      <c r="G35" s="16"/>
      <c r="J35" s="16"/>
    </row>
    <row r="36" spans="7:10" x14ac:dyDescent="0.35">
      <c r="G36" s="16"/>
      <c r="J36" s="16"/>
    </row>
    <row r="37" spans="7:10" x14ac:dyDescent="0.35">
      <c r="G37" s="16"/>
      <c r="J37" s="16"/>
    </row>
    <row r="38" spans="7:10" x14ac:dyDescent="0.35">
      <c r="G38" s="16"/>
      <c r="J38" s="16"/>
    </row>
    <row r="39" spans="7:10" x14ac:dyDescent="0.35">
      <c r="G39" s="16"/>
      <c r="J39" s="16"/>
    </row>
    <row r="40" spans="7:10" x14ac:dyDescent="0.35">
      <c r="G40" s="16"/>
      <c r="J40" s="16"/>
    </row>
    <row r="41" spans="7:10" x14ac:dyDescent="0.35">
      <c r="G41" s="16"/>
      <c r="J41" s="16"/>
    </row>
    <row r="42" spans="7:10" x14ac:dyDescent="0.35">
      <c r="G42" s="16"/>
      <c r="J42" s="16"/>
    </row>
    <row r="43" spans="7:10" x14ac:dyDescent="0.35">
      <c r="G43" s="16"/>
      <c r="J43" s="16"/>
    </row>
    <row r="44" spans="7:10" x14ac:dyDescent="0.35">
      <c r="G44" s="16"/>
      <c r="J44" s="16"/>
    </row>
    <row r="45" spans="7:10" x14ac:dyDescent="0.35">
      <c r="G45" s="16"/>
      <c r="J45" s="16"/>
    </row>
    <row r="46" spans="7:10" x14ac:dyDescent="0.35">
      <c r="G46" s="16"/>
      <c r="J46" s="16"/>
    </row>
    <row r="47" spans="7:10" x14ac:dyDescent="0.35">
      <c r="G47" s="16"/>
      <c r="J47" s="16"/>
    </row>
    <row r="48" spans="7:10" x14ac:dyDescent="0.35">
      <c r="G48" s="16"/>
      <c r="J48" s="16"/>
    </row>
    <row r="49" spans="7:7" x14ac:dyDescent="0.35">
      <c r="G49" s="16"/>
    </row>
    <row r="52" spans="7:7" x14ac:dyDescent="0.35">
      <c r="G52" s="16"/>
    </row>
    <row r="53" spans="7:7" x14ac:dyDescent="0.35">
      <c r="G53" s="16"/>
    </row>
  </sheetData>
  <sheetProtection algorithmName="SHA-512" hashValue="g4cvNpm3fW0LPBlkmHtXr7gOwdeh9JUpBP+jsZRXShnrvYOv2vX3A4/IrhshN/lpRanF8xAax78Zdf0GRThWpA==" saltValue="7ROnWtQOOIlRgq98DQSimA==" spinCount="100000" sheet="1" objects="1" scenarios="1"/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2661412-DB16-40D2-8E6E-B974071793A0}">
          <x14:formula1>
            <xm:f>Catégories!$A$2:$A$49</xm:f>
          </x14:formula1>
          <xm:sqref>A4:A61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2920D-DB94-46F7-9854-4F5E6824886D}">
  <sheetPr>
    <tabColor rgb="FFFFC000"/>
  </sheetPr>
  <dimension ref="A1:J53"/>
  <sheetViews>
    <sheetView zoomScale="78" zoomScaleNormal="78" workbookViewId="0">
      <selection activeCell="F4" sqref="F4"/>
    </sheetView>
  </sheetViews>
  <sheetFormatPr baseColWidth="10" defaultRowHeight="14.5" x14ac:dyDescent="0.35"/>
  <cols>
    <col min="1" max="1" width="30.1796875" style="7" bestFit="1" customWidth="1"/>
    <col min="2" max="2" width="10.90625" style="29"/>
    <col min="3" max="3" width="17" style="7" bestFit="1" customWidth="1"/>
    <col min="4" max="16384" width="10.90625" style="7"/>
  </cols>
  <sheetData>
    <row r="1" spans="1:7" x14ac:dyDescent="0.35">
      <c r="A1" s="7" t="s">
        <v>32</v>
      </c>
    </row>
    <row r="3" spans="1:7" x14ac:dyDescent="0.35">
      <c r="A3" s="30" t="s">
        <v>55</v>
      </c>
      <c r="B3" s="31" t="s">
        <v>59</v>
      </c>
      <c r="C3" s="30" t="s">
        <v>60</v>
      </c>
      <c r="D3" s="7" t="s">
        <v>55</v>
      </c>
      <c r="E3" s="7" t="s">
        <v>59</v>
      </c>
    </row>
    <row r="4" spans="1:7" x14ac:dyDescent="0.35">
      <c r="D4" s="7" t="s">
        <v>8</v>
      </c>
      <c r="E4" s="32">
        <f>SUMIF(Tabelle21516181920212223242526[Catégorie],"Restaurants/Cafés",Tabelle21516181920212223242526[Montant])</f>
        <v>0</v>
      </c>
      <c r="F4" s="16"/>
      <c r="G4" s="16"/>
    </row>
    <row r="5" spans="1:7" x14ac:dyDescent="0.35">
      <c r="D5" s="7" t="s">
        <v>10</v>
      </c>
      <c r="E5" s="32">
        <f>SUMIF(Tabelle21516181920212223242526[Catégorie],"Loisirs",Tabelle21516181920212223242526[Montant])</f>
        <v>0</v>
      </c>
      <c r="F5" s="16"/>
    </row>
    <row r="6" spans="1:7" x14ac:dyDescent="0.35">
      <c r="D6" s="7" t="s">
        <v>11</v>
      </c>
      <c r="E6" s="32">
        <f>SUMIF(Tabelle21516181920212223242526[Catégorie],"Cadeaux",Tabelle21516181920212223242526[Montant])</f>
        <v>0</v>
      </c>
    </row>
    <row r="7" spans="1:7" x14ac:dyDescent="0.35">
      <c r="D7" s="7" t="s">
        <v>12</v>
      </c>
      <c r="E7" s="32">
        <f>SUMIF(Tabelle21516181920212223242526[Catégorie],"Alimentation",Tabelle21516181920212223242526[Montant])</f>
        <v>0</v>
      </c>
    </row>
    <row r="8" spans="1:7" x14ac:dyDescent="0.35">
      <c r="D8" s="7" t="s">
        <v>13</v>
      </c>
      <c r="E8" s="32">
        <f>SUMIF(Tabelle21516181920212223242526[Catégorie],"Assurances",Tabelle21516181920212223242526[Montant])</f>
        <v>0</v>
      </c>
      <c r="F8" s="16"/>
    </row>
    <row r="9" spans="1:7" x14ac:dyDescent="0.35">
      <c r="D9" s="7" t="s">
        <v>0</v>
      </c>
      <c r="E9" s="32">
        <f>SUMIF(Tabelle21516181920212223242526[Catégorie],"Internet",Tabelle21516181920212223242526[Montant])</f>
        <v>0</v>
      </c>
      <c r="F9" s="16"/>
    </row>
    <row r="10" spans="1:7" x14ac:dyDescent="0.35">
      <c r="D10" s="7" t="s">
        <v>14</v>
      </c>
      <c r="E10" s="32">
        <f>SUMIF(Tabelle21516181920212223242526[Catégorie],"Autres dépenses",Tabelle21516181920212223242526[Montant])</f>
        <v>0</v>
      </c>
      <c r="F10" s="16"/>
    </row>
    <row r="11" spans="1:7" x14ac:dyDescent="0.35">
      <c r="D11" s="7" t="s">
        <v>7</v>
      </c>
      <c r="E11" s="32">
        <f>SUMIF(Tabelle21516181920212223242526[Catégorie],"Autres revenus",Tabelle21516181920212223242526[Montant])</f>
        <v>0</v>
      </c>
    </row>
    <row r="12" spans="1:7" x14ac:dyDescent="0.35">
      <c r="D12" s="7" t="s">
        <v>15</v>
      </c>
      <c r="E12" s="32">
        <f>SUMIF(Tabelle21516181920212223242526[Catégorie],"Téléphone",Tabelle21516181920212223242526[Montant])</f>
        <v>0</v>
      </c>
      <c r="F12" s="16"/>
    </row>
    <row r="13" spans="1:7" x14ac:dyDescent="0.35">
      <c r="D13" s="7" t="s">
        <v>16</v>
      </c>
      <c r="E13" s="32">
        <f>SUMIF(Tabelle21516181920212223242526[Catégorie],"Loyer",Tabelle21516181920212223242526[Montant])</f>
        <v>0</v>
      </c>
    </row>
    <row r="14" spans="1:7" x14ac:dyDescent="0.35">
      <c r="D14" s="7" t="s">
        <v>22</v>
      </c>
      <c r="E14" s="32">
        <f>SUMIF(Tabelle21516181920212223242526[Catégorie],"Salaire",Tabelle21516181920212223242526[Montant])</f>
        <v>0</v>
      </c>
      <c r="F14" s="16"/>
    </row>
    <row r="15" spans="1:7" x14ac:dyDescent="0.35">
      <c r="D15" s="7" t="s">
        <v>17</v>
      </c>
      <c r="E15" s="32">
        <f>SUMIF(Tabelle21516181920212223242526[Catégorie],"Épargne",Tabelle21516181920212223242526[Montant])</f>
        <v>0</v>
      </c>
      <c r="F15" s="16"/>
    </row>
    <row r="16" spans="1:7" x14ac:dyDescent="0.35">
      <c r="D16" s="7" t="s">
        <v>18</v>
      </c>
      <c r="E16" s="32">
        <f>SUMIF(Tabelle21516181920212223242526[Catégorie],"Achats",Tabelle21516181920212223242526[Montant])</f>
        <v>0</v>
      </c>
      <c r="F16" s="16"/>
    </row>
    <row r="17" spans="5:6" x14ac:dyDescent="0.35">
      <c r="E17" s="16"/>
      <c r="F17" s="16"/>
    </row>
    <row r="18" spans="5:6" x14ac:dyDescent="0.35">
      <c r="E18" s="16"/>
      <c r="F18" s="16"/>
    </row>
    <row r="19" spans="5:6" x14ac:dyDescent="0.35">
      <c r="E19" s="16"/>
    </row>
    <row r="20" spans="5:6" x14ac:dyDescent="0.35">
      <c r="E20" s="16"/>
      <c r="F20" s="16"/>
    </row>
    <row r="33" spans="7:10" x14ac:dyDescent="0.35">
      <c r="J33" s="16"/>
    </row>
    <row r="34" spans="7:10" x14ac:dyDescent="0.35">
      <c r="G34" s="16"/>
      <c r="J34" s="16"/>
    </row>
    <row r="35" spans="7:10" x14ac:dyDescent="0.35">
      <c r="G35" s="16"/>
      <c r="J35" s="16"/>
    </row>
    <row r="36" spans="7:10" x14ac:dyDescent="0.35">
      <c r="G36" s="16"/>
      <c r="J36" s="16"/>
    </row>
    <row r="37" spans="7:10" x14ac:dyDescent="0.35">
      <c r="G37" s="16"/>
      <c r="J37" s="16"/>
    </row>
    <row r="38" spans="7:10" x14ac:dyDescent="0.35">
      <c r="G38" s="16"/>
      <c r="J38" s="16"/>
    </row>
    <row r="39" spans="7:10" x14ac:dyDescent="0.35">
      <c r="G39" s="16"/>
      <c r="J39" s="16"/>
    </row>
    <row r="40" spans="7:10" x14ac:dyDescent="0.35">
      <c r="G40" s="16"/>
      <c r="J40" s="16"/>
    </row>
    <row r="41" spans="7:10" x14ac:dyDescent="0.35">
      <c r="G41" s="16"/>
      <c r="J41" s="16"/>
    </row>
    <row r="42" spans="7:10" x14ac:dyDescent="0.35">
      <c r="G42" s="16"/>
      <c r="J42" s="16"/>
    </row>
    <row r="43" spans="7:10" x14ac:dyDescent="0.35">
      <c r="G43" s="16"/>
      <c r="J43" s="16"/>
    </row>
    <row r="44" spans="7:10" x14ac:dyDescent="0.35">
      <c r="G44" s="16"/>
      <c r="J44" s="16"/>
    </row>
    <row r="45" spans="7:10" x14ac:dyDescent="0.35">
      <c r="G45" s="16"/>
      <c r="J45" s="16"/>
    </row>
    <row r="46" spans="7:10" x14ac:dyDescent="0.35">
      <c r="G46" s="16"/>
      <c r="J46" s="16"/>
    </row>
    <row r="47" spans="7:10" x14ac:dyDescent="0.35">
      <c r="G47" s="16"/>
      <c r="J47" s="16"/>
    </row>
    <row r="48" spans="7:10" x14ac:dyDescent="0.35">
      <c r="G48" s="16"/>
      <c r="J48" s="16"/>
    </row>
    <row r="49" spans="7:7" x14ac:dyDescent="0.35">
      <c r="G49" s="16"/>
    </row>
    <row r="52" spans="7:7" x14ac:dyDescent="0.35">
      <c r="G52" s="16"/>
    </row>
    <row r="53" spans="7:7" x14ac:dyDescent="0.35">
      <c r="G53" s="16"/>
    </row>
  </sheetData>
  <sheetProtection algorithmName="SHA-512" hashValue="Dv6xfRVeBOD8se66UcuAOHUPMqnLl6Z42HYnOiUeZ2j83b8Fxqulg1hGKYP3lFu03gvuh4Ek4AIYUfx83DQ1AQ==" saltValue="HTfhDxxtXp9Ls+/TkHU0lQ==" spinCount="100000" sheet="1" objects="1" scenarios="1"/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D13624F-6932-490F-8920-44558674DB95}">
          <x14:formula1>
            <xm:f>Catégories!$A$2:$A$49</xm:f>
          </x14:formula1>
          <xm:sqref>A4:A61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B8ACA-F885-4CD6-8D97-D1EC6FD59625}">
  <sheetPr>
    <tabColor rgb="FFFFC000"/>
  </sheetPr>
  <dimension ref="A1:J53"/>
  <sheetViews>
    <sheetView zoomScale="78" zoomScaleNormal="78" workbookViewId="0">
      <selection activeCell="G32" sqref="G32"/>
    </sheetView>
  </sheetViews>
  <sheetFormatPr baseColWidth="10" defaultRowHeight="14.5" x14ac:dyDescent="0.35"/>
  <cols>
    <col min="1" max="1" width="30.1796875" style="7" bestFit="1" customWidth="1"/>
    <col min="2" max="2" width="10.90625" style="29"/>
    <col min="3" max="3" width="17" style="7" bestFit="1" customWidth="1"/>
    <col min="4" max="16384" width="10.90625" style="7"/>
  </cols>
  <sheetData>
    <row r="1" spans="1:7" x14ac:dyDescent="0.35">
      <c r="A1" s="7" t="s">
        <v>33</v>
      </c>
    </row>
    <row r="3" spans="1:7" x14ac:dyDescent="0.35">
      <c r="A3" s="30" t="s">
        <v>55</v>
      </c>
      <c r="B3" s="31" t="s">
        <v>59</v>
      </c>
      <c r="C3" s="30" t="s">
        <v>60</v>
      </c>
      <c r="D3" s="7" t="s">
        <v>55</v>
      </c>
      <c r="E3" s="7" t="s">
        <v>59</v>
      </c>
    </row>
    <row r="4" spans="1:7" x14ac:dyDescent="0.35">
      <c r="D4" s="7" t="s">
        <v>8</v>
      </c>
      <c r="E4" s="32">
        <f>SUMIF(Tabelle2151618192021222324252627[Catégorie],"Restaurants/Cafés",Tabelle2151618192021222324252627[Montant])</f>
        <v>0</v>
      </c>
      <c r="F4" s="16"/>
      <c r="G4" s="16"/>
    </row>
    <row r="5" spans="1:7" x14ac:dyDescent="0.35">
      <c r="D5" s="7" t="s">
        <v>10</v>
      </c>
      <c r="E5" s="32">
        <f>SUMIF(Tabelle2151618192021222324252627[Catégorie],"Loisirs",Tabelle2151618192021222324252627[Montant])</f>
        <v>0</v>
      </c>
      <c r="F5" s="16"/>
    </row>
    <row r="6" spans="1:7" x14ac:dyDescent="0.35">
      <c r="D6" s="7" t="s">
        <v>11</v>
      </c>
      <c r="E6" s="32">
        <f>SUMIF(Tabelle2151618192021222324252627[Catégorie],"Cadeaux",Tabelle2151618192021222324252627[Montant])</f>
        <v>0</v>
      </c>
    </row>
    <row r="7" spans="1:7" x14ac:dyDescent="0.35">
      <c r="D7" s="7" t="s">
        <v>12</v>
      </c>
      <c r="E7" s="32">
        <f>SUMIF(Tabelle2151618192021222324252627[Catégorie],"Alimentation",Tabelle2151618192021222324252627[Montant])</f>
        <v>0</v>
      </c>
    </row>
    <row r="8" spans="1:7" x14ac:dyDescent="0.35">
      <c r="D8" s="7" t="s">
        <v>13</v>
      </c>
      <c r="E8" s="32">
        <f>SUMIF(Tabelle2151618192021222324252627[Catégorie],"Assurances",Tabelle2151618192021222324252627[Montant])</f>
        <v>0</v>
      </c>
      <c r="F8" s="16"/>
    </row>
    <row r="9" spans="1:7" x14ac:dyDescent="0.35">
      <c r="D9" s="7" t="s">
        <v>0</v>
      </c>
      <c r="E9" s="32">
        <f>SUMIF(Tabelle2151618192021222324252627[Catégorie],"Internet",Tabelle2151618192021222324252627[Montant])</f>
        <v>0</v>
      </c>
      <c r="F9" s="16"/>
    </row>
    <row r="10" spans="1:7" x14ac:dyDescent="0.35">
      <c r="D10" s="7" t="s">
        <v>14</v>
      </c>
      <c r="E10" s="32">
        <f>SUMIF(Tabelle2151618192021222324252627[Catégorie],"Autres dépenses",Tabelle2151618192021222324252627[Montant])</f>
        <v>0</v>
      </c>
      <c r="F10" s="16"/>
    </row>
    <row r="11" spans="1:7" x14ac:dyDescent="0.35">
      <c r="D11" s="7" t="s">
        <v>7</v>
      </c>
      <c r="E11" s="32">
        <f>SUMIF(Tabelle2151618192021222324252627[Catégorie],"Autres revenus",Tabelle2151618192021222324252627[Montant])</f>
        <v>0</v>
      </c>
    </row>
    <row r="12" spans="1:7" x14ac:dyDescent="0.35">
      <c r="D12" s="7" t="s">
        <v>15</v>
      </c>
      <c r="E12" s="32">
        <f>SUMIF(Tabelle2151618192021222324252627[Catégorie],"Téléphone",Tabelle2151618192021222324252627[Montant])</f>
        <v>0</v>
      </c>
      <c r="F12" s="16"/>
    </row>
    <row r="13" spans="1:7" x14ac:dyDescent="0.35">
      <c r="D13" s="7" t="s">
        <v>16</v>
      </c>
      <c r="E13" s="32">
        <f>SUMIF(Tabelle2151618192021222324252627[Catégorie],"Loyer",Tabelle2151618192021222324252627[Montant])</f>
        <v>0</v>
      </c>
    </row>
    <row r="14" spans="1:7" x14ac:dyDescent="0.35">
      <c r="D14" s="7" t="s">
        <v>22</v>
      </c>
      <c r="E14" s="32">
        <f>SUMIF(Tabelle2151618192021222324252627[Catégorie],"Salaire",Tabelle2151618192021222324252627[Montant])</f>
        <v>0</v>
      </c>
      <c r="F14" s="16"/>
    </row>
    <row r="15" spans="1:7" x14ac:dyDescent="0.35">
      <c r="D15" s="7" t="s">
        <v>17</v>
      </c>
      <c r="E15" s="32">
        <f>SUMIF(Tabelle2151618192021222324252627[Catégorie],"Épargne",Tabelle2151618192021222324252627[Montant])</f>
        <v>0</v>
      </c>
      <c r="F15" s="16"/>
    </row>
    <row r="16" spans="1:7" x14ac:dyDescent="0.35">
      <c r="D16" s="7" t="s">
        <v>18</v>
      </c>
      <c r="E16" s="32">
        <f>SUMIF(Tabelle2151618192021222324252627[Catégorie],"Achats",Tabelle2151618192021222324252627[Montant])</f>
        <v>0</v>
      </c>
      <c r="F16" s="16"/>
    </row>
    <row r="17" spans="5:6" x14ac:dyDescent="0.35">
      <c r="E17" s="16"/>
      <c r="F17" s="16"/>
    </row>
    <row r="18" spans="5:6" x14ac:dyDescent="0.35">
      <c r="E18" s="16"/>
      <c r="F18" s="16"/>
    </row>
    <row r="19" spans="5:6" x14ac:dyDescent="0.35">
      <c r="E19" s="16"/>
    </row>
    <row r="20" spans="5:6" x14ac:dyDescent="0.35">
      <c r="E20" s="16"/>
      <c r="F20" s="16"/>
    </row>
    <row r="33" spans="7:10" x14ac:dyDescent="0.35">
      <c r="J33" s="16"/>
    </row>
    <row r="34" spans="7:10" x14ac:dyDescent="0.35">
      <c r="G34" s="16"/>
      <c r="J34" s="16"/>
    </row>
    <row r="35" spans="7:10" x14ac:dyDescent="0.35">
      <c r="G35" s="16"/>
      <c r="J35" s="16"/>
    </row>
    <row r="36" spans="7:10" x14ac:dyDescent="0.35">
      <c r="G36" s="16"/>
      <c r="J36" s="16"/>
    </row>
    <row r="37" spans="7:10" x14ac:dyDescent="0.35">
      <c r="G37" s="16"/>
      <c r="J37" s="16"/>
    </row>
    <row r="38" spans="7:10" x14ac:dyDescent="0.35">
      <c r="G38" s="16"/>
      <c r="J38" s="16"/>
    </row>
    <row r="39" spans="7:10" x14ac:dyDescent="0.35">
      <c r="G39" s="16"/>
      <c r="J39" s="16"/>
    </row>
    <row r="40" spans="7:10" x14ac:dyDescent="0.35">
      <c r="G40" s="16"/>
      <c r="J40" s="16"/>
    </row>
    <row r="41" spans="7:10" x14ac:dyDescent="0.35">
      <c r="G41" s="16"/>
      <c r="J41" s="16"/>
    </row>
    <row r="42" spans="7:10" x14ac:dyDescent="0.35">
      <c r="G42" s="16"/>
      <c r="J42" s="16"/>
    </row>
    <row r="43" spans="7:10" x14ac:dyDescent="0.35">
      <c r="G43" s="16"/>
      <c r="J43" s="16"/>
    </row>
    <row r="44" spans="7:10" x14ac:dyDescent="0.35">
      <c r="G44" s="16"/>
      <c r="J44" s="16"/>
    </row>
    <row r="45" spans="7:10" x14ac:dyDescent="0.35">
      <c r="G45" s="16"/>
      <c r="J45" s="16"/>
    </row>
    <row r="46" spans="7:10" x14ac:dyDescent="0.35">
      <c r="G46" s="16"/>
      <c r="J46" s="16"/>
    </row>
    <row r="47" spans="7:10" x14ac:dyDescent="0.35">
      <c r="G47" s="16"/>
      <c r="J47" s="16"/>
    </row>
    <row r="48" spans="7:10" x14ac:dyDescent="0.35">
      <c r="G48" s="16"/>
      <c r="J48" s="16"/>
    </row>
    <row r="49" spans="7:7" x14ac:dyDescent="0.35">
      <c r="G49" s="16"/>
    </row>
    <row r="52" spans="7:7" x14ac:dyDescent="0.35">
      <c r="G52" s="16"/>
    </row>
    <row r="53" spans="7:7" x14ac:dyDescent="0.35">
      <c r="G53" s="16"/>
    </row>
  </sheetData>
  <sheetProtection algorithmName="SHA-512" hashValue="PSXvJ/aCBzhIxwHUTsj2V6j4tj9gbB3aiUV4MwCHm7DMOKoQb7tnM9nwlDuiq5LanbDcZ/OrruypOmqTcMl0oQ==" saltValue="teFeWsL2+Pgq7BDKDk4sOw==" spinCount="100000" sheet="1" objects="1" scenarios="1"/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5B1F7AC-33D6-4B9A-8E59-F3D68451A72C}">
          <x14:formula1>
            <xm:f>Catégories!$A$2:$A$49</xm:f>
          </x14:formula1>
          <xm:sqref>A4:A61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9A07F-CECF-436C-A773-523C52FD636C}">
  <dimension ref="A1:K14"/>
  <sheetViews>
    <sheetView workbookViewId="0"/>
  </sheetViews>
  <sheetFormatPr baseColWidth="10" defaultRowHeight="14.5" x14ac:dyDescent="0.35"/>
  <cols>
    <col min="1" max="1" width="26.1796875" bestFit="1" customWidth="1"/>
  </cols>
  <sheetData>
    <row r="1" spans="1:11" x14ac:dyDescent="0.35">
      <c r="A1" t="s">
        <v>44</v>
      </c>
    </row>
    <row r="2" spans="1:11" x14ac:dyDescent="0.35">
      <c r="A2" t="s">
        <v>8</v>
      </c>
    </row>
    <row r="3" spans="1:11" x14ac:dyDescent="0.35">
      <c r="A3" t="s">
        <v>9</v>
      </c>
      <c r="B3" s="1" t="s">
        <v>45</v>
      </c>
    </row>
    <row r="4" spans="1:11" x14ac:dyDescent="0.35">
      <c r="A4" t="s">
        <v>11</v>
      </c>
    </row>
    <row r="5" spans="1:11" x14ac:dyDescent="0.35">
      <c r="A5" t="s">
        <v>12</v>
      </c>
    </row>
    <row r="6" spans="1:11" x14ac:dyDescent="0.35">
      <c r="A6" t="s">
        <v>13</v>
      </c>
      <c r="F6" t="s">
        <v>47</v>
      </c>
      <c r="J6" s="1"/>
      <c r="K6" s="1"/>
    </row>
    <row r="7" spans="1:11" x14ac:dyDescent="0.35">
      <c r="A7" t="s">
        <v>0</v>
      </c>
      <c r="F7" s="1" t="s">
        <v>48</v>
      </c>
      <c r="G7" s="1"/>
      <c r="K7" s="1"/>
    </row>
    <row r="8" spans="1:11" x14ac:dyDescent="0.35">
      <c r="A8" t="s">
        <v>14</v>
      </c>
      <c r="F8" s="1" t="s">
        <v>49</v>
      </c>
      <c r="G8" s="1"/>
      <c r="K8" s="1"/>
    </row>
    <row r="9" spans="1:11" x14ac:dyDescent="0.35">
      <c r="A9" t="s">
        <v>7</v>
      </c>
      <c r="F9" s="1" t="s">
        <v>50</v>
      </c>
      <c r="G9" s="1"/>
      <c r="K9" s="1"/>
    </row>
    <row r="10" spans="1:11" x14ac:dyDescent="0.35">
      <c r="A10" t="s">
        <v>15</v>
      </c>
      <c r="F10" s="1" t="s">
        <v>3</v>
      </c>
      <c r="G10" s="1"/>
      <c r="J10" s="1"/>
      <c r="K10" s="1"/>
    </row>
    <row r="11" spans="1:11" x14ac:dyDescent="0.35">
      <c r="A11" t="s">
        <v>16</v>
      </c>
      <c r="F11" s="1" t="s">
        <v>52</v>
      </c>
      <c r="G11" s="1" t="s">
        <v>51</v>
      </c>
      <c r="K11" s="1"/>
    </row>
    <row r="12" spans="1:11" x14ac:dyDescent="0.35">
      <c r="A12" t="s">
        <v>22</v>
      </c>
      <c r="F12" s="1" t="s">
        <v>54</v>
      </c>
      <c r="G12" s="1" t="s">
        <v>53</v>
      </c>
      <c r="K12" s="1"/>
    </row>
    <row r="13" spans="1:11" x14ac:dyDescent="0.35">
      <c r="A13" t="s">
        <v>17</v>
      </c>
      <c r="J13" s="1"/>
      <c r="K13" s="1"/>
    </row>
    <row r="14" spans="1:11" x14ac:dyDescent="0.35">
      <c r="A14" t="s">
        <v>18</v>
      </c>
      <c r="B14" s="1" t="s">
        <v>46</v>
      </c>
      <c r="J14" s="1"/>
    </row>
  </sheetData>
  <phoneticPr fontId="3" type="noConversion"/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EC546-28BF-4104-96EA-9031B7C3D4E2}">
  <dimension ref="A1:D16"/>
  <sheetViews>
    <sheetView workbookViewId="0"/>
  </sheetViews>
  <sheetFormatPr baseColWidth="10" defaultRowHeight="14.5" x14ac:dyDescent="0.35"/>
  <cols>
    <col min="1" max="1" width="17" style="7" bestFit="1" customWidth="1"/>
    <col min="2" max="2" width="18.36328125" style="7" bestFit="1" customWidth="1"/>
    <col min="3" max="3" width="17.08984375" style="7" bestFit="1" customWidth="1"/>
    <col min="4" max="16384" width="10.90625" style="7"/>
  </cols>
  <sheetData>
    <row r="1" spans="1:4" x14ac:dyDescent="0.35">
      <c r="A1" s="6" t="s">
        <v>55</v>
      </c>
      <c r="B1" s="6" t="s">
        <v>56</v>
      </c>
      <c r="C1" s="6" t="s">
        <v>57</v>
      </c>
    </row>
    <row r="2" spans="1:4" x14ac:dyDescent="0.35">
      <c r="A2" s="8" t="s">
        <v>8</v>
      </c>
      <c r="B2" s="9"/>
      <c r="C2" s="9"/>
    </row>
    <row r="3" spans="1:4" x14ac:dyDescent="0.35">
      <c r="A3" s="8" t="s">
        <v>10</v>
      </c>
      <c r="B3" s="9"/>
      <c r="C3" s="9"/>
    </row>
    <row r="4" spans="1:4" x14ac:dyDescent="0.35">
      <c r="A4" s="8" t="s">
        <v>11</v>
      </c>
      <c r="B4" s="9"/>
      <c r="C4" s="9"/>
    </row>
    <row r="5" spans="1:4" x14ac:dyDescent="0.35">
      <c r="A5" s="8" t="s">
        <v>12</v>
      </c>
      <c r="B5" s="9"/>
      <c r="C5" s="9"/>
    </row>
    <row r="6" spans="1:4" x14ac:dyDescent="0.35">
      <c r="A6" s="8" t="s">
        <v>13</v>
      </c>
      <c r="B6" s="9"/>
      <c r="C6" s="9"/>
    </row>
    <row r="7" spans="1:4" x14ac:dyDescent="0.35">
      <c r="A7" s="8" t="s">
        <v>0</v>
      </c>
      <c r="B7" s="9"/>
      <c r="C7" s="9"/>
    </row>
    <row r="8" spans="1:4" x14ac:dyDescent="0.35">
      <c r="A8" s="8" t="s">
        <v>14</v>
      </c>
      <c r="B8" s="9"/>
      <c r="C8" s="9"/>
    </row>
    <row r="9" spans="1:4" x14ac:dyDescent="0.35">
      <c r="A9" s="8" t="s">
        <v>7</v>
      </c>
      <c r="B9" s="9"/>
      <c r="C9" s="9"/>
    </row>
    <row r="10" spans="1:4" x14ac:dyDescent="0.35">
      <c r="A10" s="8" t="s">
        <v>15</v>
      </c>
      <c r="B10" s="9"/>
      <c r="C10" s="9"/>
    </row>
    <row r="11" spans="1:4" x14ac:dyDescent="0.35">
      <c r="A11" s="8" t="s">
        <v>16</v>
      </c>
      <c r="B11" s="9"/>
      <c r="C11" s="9"/>
    </row>
    <row r="12" spans="1:4" x14ac:dyDescent="0.35">
      <c r="A12" s="8" t="s">
        <v>22</v>
      </c>
      <c r="B12" s="9"/>
      <c r="C12" s="9"/>
    </row>
    <row r="13" spans="1:4" x14ac:dyDescent="0.35">
      <c r="A13" s="8" t="s">
        <v>17</v>
      </c>
      <c r="B13" s="9"/>
      <c r="C13" s="9"/>
    </row>
    <row r="14" spans="1:4" x14ac:dyDescent="0.35">
      <c r="A14" s="8" t="s">
        <v>18</v>
      </c>
      <c r="B14" s="9"/>
      <c r="C14" s="9"/>
    </row>
    <row r="15" spans="1:4" ht="15" thickBot="1" x14ac:dyDescent="0.4">
      <c r="A15" s="6" t="s">
        <v>19</v>
      </c>
      <c r="B15" s="12">
        <f>SUM(B2:B14)</f>
        <v>0</v>
      </c>
      <c r="C15" s="12">
        <f>SUM(C2:C14)</f>
        <v>0</v>
      </c>
    </row>
    <row r="16" spans="1:4" ht="15" thickBot="1" x14ac:dyDescent="0.4">
      <c r="A16" s="10" t="s">
        <v>58</v>
      </c>
      <c r="B16" s="11"/>
      <c r="C16" s="10"/>
      <c r="D16" s="13">
        <f>B15-C15</f>
        <v>0</v>
      </c>
    </row>
  </sheetData>
  <sheetProtection algorithmName="SHA-512" hashValue="CzVRA+Z1jZpyhuaq4vQs/f/URukR2v//0GIdmJK8CYRdGK284GGwOPBPoZcGjLaRGpIfkPsHj7bHLUWLvEKx2Q==" saltValue="Ozht0Za7g0zvAl7JpRx09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960F8-9B77-49A8-95E0-517A25FF59B9}">
  <dimension ref="A1:O55"/>
  <sheetViews>
    <sheetView zoomScale="70" zoomScaleNormal="70" workbookViewId="0">
      <selection sqref="A1:M1"/>
    </sheetView>
  </sheetViews>
  <sheetFormatPr baseColWidth="10" defaultRowHeight="14.5" x14ac:dyDescent="0.35"/>
  <cols>
    <col min="1" max="1" width="9.90625" style="7" bestFit="1" customWidth="1"/>
    <col min="2" max="2" width="19.81640625" style="7" bestFit="1" customWidth="1"/>
    <col min="3" max="3" width="11.90625" style="7" bestFit="1" customWidth="1"/>
    <col min="4" max="4" width="9.1796875" style="7" bestFit="1" customWidth="1"/>
    <col min="5" max="6" width="11.90625" style="7" bestFit="1" customWidth="1"/>
    <col min="7" max="7" width="10.7265625" style="7" bestFit="1" customWidth="1"/>
    <col min="8" max="8" width="16.7265625" style="7" bestFit="1" customWidth="1"/>
    <col min="9" max="9" width="9.26953125" style="7" bestFit="1" customWidth="1"/>
    <col min="10" max="10" width="7.90625" style="7" bestFit="1" customWidth="1"/>
    <col min="11" max="11" width="10.08984375" style="7" bestFit="1" customWidth="1"/>
    <col min="12" max="12" width="11.6328125" style="7" bestFit="1" customWidth="1"/>
    <col min="13" max="16384" width="10.90625" style="7"/>
  </cols>
  <sheetData>
    <row r="1" spans="1:13" ht="21" x14ac:dyDescent="0.5">
      <c r="A1" s="38" t="s">
        <v>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x14ac:dyDescent="0.35">
      <c r="A2" s="14" t="s">
        <v>6</v>
      </c>
      <c r="B2" s="15" t="s">
        <v>8</v>
      </c>
      <c r="C2" s="15" t="s">
        <v>10</v>
      </c>
      <c r="D2" s="15" t="s">
        <v>11</v>
      </c>
      <c r="E2" s="7" t="s">
        <v>12</v>
      </c>
      <c r="F2" s="15" t="s">
        <v>13</v>
      </c>
      <c r="G2" s="15" t="s">
        <v>0</v>
      </c>
      <c r="H2" s="15" t="s">
        <v>14</v>
      </c>
      <c r="I2" s="15" t="s">
        <v>15</v>
      </c>
      <c r="J2" s="15" t="s">
        <v>16</v>
      </c>
      <c r="K2" s="15" t="s">
        <v>17</v>
      </c>
      <c r="L2" s="15" t="s">
        <v>18</v>
      </c>
      <c r="M2" s="15" t="s">
        <v>19</v>
      </c>
    </row>
    <row r="3" spans="1:13" x14ac:dyDescent="0.35">
      <c r="A3" s="20" t="s">
        <v>23</v>
      </c>
      <c r="B3" s="21">
        <f>Jan!E4</f>
        <v>0</v>
      </c>
      <c r="C3" s="21">
        <f>Jan!E5</f>
        <v>0</v>
      </c>
      <c r="D3" s="21">
        <f>Jan!E6</f>
        <v>0</v>
      </c>
      <c r="E3" s="21">
        <f>Jan!E7</f>
        <v>0</v>
      </c>
      <c r="F3" s="21">
        <f>Jan!E8</f>
        <v>0</v>
      </c>
      <c r="G3" s="21">
        <f>Jan!E9</f>
        <v>0</v>
      </c>
      <c r="H3" s="21">
        <f>Jan!E10</f>
        <v>0</v>
      </c>
      <c r="I3" s="21">
        <f>Jan!E12</f>
        <v>0</v>
      </c>
      <c r="J3" s="21">
        <f>Jan!E13</f>
        <v>0</v>
      </c>
      <c r="K3" s="21">
        <f>Jan!E15</f>
        <v>0</v>
      </c>
      <c r="L3" s="21">
        <f>Jan!E16</f>
        <v>0</v>
      </c>
      <c r="M3" s="22">
        <f>SUM(Tabelle2614[[#This Row],[Restaurants/Cafés]:[Achats]])</f>
        <v>0</v>
      </c>
    </row>
    <row r="4" spans="1:13" x14ac:dyDescent="0.35">
      <c r="A4" s="20" t="s">
        <v>24</v>
      </c>
      <c r="B4" s="21">
        <f>Fév!E4</f>
        <v>0</v>
      </c>
      <c r="C4" s="21">
        <f>Fév!E5</f>
        <v>0</v>
      </c>
      <c r="D4" s="21">
        <f>Fév!E6</f>
        <v>0</v>
      </c>
      <c r="E4" s="21">
        <f>Fév!E7</f>
        <v>0</v>
      </c>
      <c r="F4" s="21">
        <f>Fév!E8</f>
        <v>0</v>
      </c>
      <c r="G4" s="21">
        <f>Fév!E9</f>
        <v>0</v>
      </c>
      <c r="H4" s="21">
        <f>Fév!E10</f>
        <v>0</v>
      </c>
      <c r="I4" s="21">
        <f>Fév!E12</f>
        <v>0</v>
      </c>
      <c r="J4" s="21">
        <f>Fév!E13</f>
        <v>0</v>
      </c>
      <c r="K4" s="21">
        <f>Fév!E15</f>
        <v>0</v>
      </c>
      <c r="L4" s="21">
        <f>Fév!E16</f>
        <v>0</v>
      </c>
      <c r="M4" s="22">
        <f>SUM(Tabelle2614[[#This Row],[Restaurants/Cafés]:[Achats]])</f>
        <v>0</v>
      </c>
    </row>
    <row r="5" spans="1:13" x14ac:dyDescent="0.35">
      <c r="A5" s="20" t="s">
        <v>25</v>
      </c>
      <c r="B5" s="21">
        <f>Mar!E4</f>
        <v>0</v>
      </c>
      <c r="C5" s="21">
        <f>Mar!E5</f>
        <v>0</v>
      </c>
      <c r="D5" s="21">
        <f>Mar!E6</f>
        <v>0</v>
      </c>
      <c r="E5" s="21">
        <f>Mar!E7</f>
        <v>0</v>
      </c>
      <c r="F5" s="21">
        <f>Mar!E8</f>
        <v>0</v>
      </c>
      <c r="G5" s="21">
        <f>Mar!E9</f>
        <v>0</v>
      </c>
      <c r="H5" s="21">
        <f>Mar!E10</f>
        <v>0</v>
      </c>
      <c r="I5" s="21">
        <f>Mar!E12</f>
        <v>0</v>
      </c>
      <c r="J5" s="21">
        <f>Mar!E13</f>
        <v>0</v>
      </c>
      <c r="K5" s="21">
        <f>Mar!E15</f>
        <v>0</v>
      </c>
      <c r="L5" s="21">
        <f>Mar!E16</f>
        <v>0</v>
      </c>
      <c r="M5" s="22">
        <f>SUM(Tabelle2614[[#This Row],[Restaurants/Cafés]:[Achats]])</f>
        <v>0</v>
      </c>
    </row>
    <row r="6" spans="1:13" x14ac:dyDescent="0.35">
      <c r="A6" s="20" t="s">
        <v>26</v>
      </c>
      <c r="B6" s="21">
        <f>Avr!E4</f>
        <v>0</v>
      </c>
      <c r="C6" s="21">
        <f>Avr!E5</f>
        <v>0</v>
      </c>
      <c r="D6" s="21">
        <f>Avr!E6</f>
        <v>0</v>
      </c>
      <c r="E6" s="21">
        <f>Avr!E7</f>
        <v>0</v>
      </c>
      <c r="F6" s="21">
        <f>Avr!E8</f>
        <v>0</v>
      </c>
      <c r="G6" s="21">
        <f>Avr!E9</f>
        <v>0</v>
      </c>
      <c r="H6" s="21">
        <f>Avr!E10</f>
        <v>0</v>
      </c>
      <c r="I6" s="21">
        <f>Avr!E12</f>
        <v>0</v>
      </c>
      <c r="J6" s="21">
        <f>Avr!E13</f>
        <v>0</v>
      </c>
      <c r="K6" s="21">
        <f>Avr!E15</f>
        <v>0</v>
      </c>
      <c r="L6" s="21">
        <f>Avr!E16</f>
        <v>0</v>
      </c>
      <c r="M6" s="22">
        <f>SUM(Tabelle2614[[#This Row],[Restaurants/Cafés]:[Achats]])</f>
        <v>0</v>
      </c>
    </row>
    <row r="7" spans="1:13" x14ac:dyDescent="0.35">
      <c r="A7" s="20" t="s">
        <v>2</v>
      </c>
      <c r="B7" s="21">
        <f>Mai!E4</f>
        <v>0</v>
      </c>
      <c r="C7" s="21">
        <f>Mai!E5</f>
        <v>0</v>
      </c>
      <c r="D7" s="21">
        <f>Mai!E6</f>
        <v>0</v>
      </c>
      <c r="E7" s="21">
        <f>Mai!E7</f>
        <v>0</v>
      </c>
      <c r="F7" s="21">
        <f>Mai!E8</f>
        <v>0</v>
      </c>
      <c r="G7" s="21">
        <f>Mai!E9</f>
        <v>0</v>
      </c>
      <c r="H7" s="21">
        <f>Mai!E10</f>
        <v>0</v>
      </c>
      <c r="I7" s="21">
        <f>Mai!E12</f>
        <v>0</v>
      </c>
      <c r="J7" s="21">
        <f>Mai!E13</f>
        <v>0</v>
      </c>
      <c r="K7" s="21">
        <f>Mai!E15</f>
        <v>0</v>
      </c>
      <c r="L7" s="21">
        <f>Mai!E16</f>
        <v>0</v>
      </c>
      <c r="M7" s="22">
        <f>SUM(Tabelle2614[[#This Row],[Restaurants/Cafés]:[Achats]])</f>
        <v>0</v>
      </c>
    </row>
    <row r="8" spans="1:13" x14ac:dyDescent="0.35">
      <c r="A8" s="20" t="s">
        <v>27</v>
      </c>
      <c r="B8" s="21">
        <f>Juin!E4</f>
        <v>0</v>
      </c>
      <c r="C8" s="21">
        <f>Juin!E5</f>
        <v>0</v>
      </c>
      <c r="D8" s="21">
        <f>Juin!E6</f>
        <v>0</v>
      </c>
      <c r="E8" s="21">
        <f>Juin!E7</f>
        <v>0</v>
      </c>
      <c r="F8" s="21">
        <f>Juin!E8</f>
        <v>0</v>
      </c>
      <c r="G8" s="21">
        <f>Juin!E9</f>
        <v>0</v>
      </c>
      <c r="H8" s="21">
        <f>Juin!E10</f>
        <v>0</v>
      </c>
      <c r="I8" s="21">
        <f>Juin!E12</f>
        <v>0</v>
      </c>
      <c r="J8" s="21">
        <f>Juin!E13</f>
        <v>0</v>
      </c>
      <c r="K8" s="21">
        <f>Juin!E15</f>
        <v>0</v>
      </c>
      <c r="L8" s="21">
        <f>Juin!E16</f>
        <v>0</v>
      </c>
      <c r="M8" s="22">
        <f>SUM(Tabelle2614[[#This Row],[Restaurants/Cafés]:[Achats]])</f>
        <v>0</v>
      </c>
    </row>
    <row r="9" spans="1:13" x14ac:dyDescent="0.35">
      <c r="A9" s="20" t="s">
        <v>28</v>
      </c>
      <c r="B9" s="21">
        <f>Juil!E4</f>
        <v>0</v>
      </c>
      <c r="C9" s="21">
        <f>Juil!E5</f>
        <v>0</v>
      </c>
      <c r="D9" s="21">
        <f>Juil!E6</f>
        <v>0</v>
      </c>
      <c r="E9" s="21">
        <f>Juil!E7</f>
        <v>0</v>
      </c>
      <c r="F9" s="21">
        <f>Juil!E8</f>
        <v>0</v>
      </c>
      <c r="G9" s="21">
        <f>Juil!E9</f>
        <v>0</v>
      </c>
      <c r="H9" s="21">
        <f>Juil!E10</f>
        <v>0</v>
      </c>
      <c r="I9" s="21">
        <f>Juil!E12</f>
        <v>0</v>
      </c>
      <c r="J9" s="21">
        <f>Juil!E13</f>
        <v>0</v>
      </c>
      <c r="K9" s="21">
        <f>Juil!E15</f>
        <v>0</v>
      </c>
      <c r="L9" s="21">
        <f>Juil!E16</f>
        <v>0</v>
      </c>
      <c r="M9" s="22">
        <f>SUM(Tabelle2614[[#This Row],[Restaurants/Cafés]:[Achats]])</f>
        <v>0</v>
      </c>
    </row>
    <row r="10" spans="1:13" x14ac:dyDescent="0.35">
      <c r="A10" s="20" t="s">
        <v>29</v>
      </c>
      <c r="B10" s="21">
        <f>Aoû!E4</f>
        <v>0</v>
      </c>
      <c r="C10" s="21">
        <f>Aoû!E4</f>
        <v>0</v>
      </c>
      <c r="D10" s="21">
        <f>Aoû!E6</f>
        <v>0</v>
      </c>
      <c r="E10" s="21">
        <f>Aoû!E7</f>
        <v>0</v>
      </c>
      <c r="F10" s="21">
        <f>Aoû!E8</f>
        <v>0</v>
      </c>
      <c r="G10" s="21">
        <f>Aoû!E9</f>
        <v>0</v>
      </c>
      <c r="H10" s="21">
        <f>Aoû!E10</f>
        <v>0</v>
      </c>
      <c r="I10" s="21">
        <f>Aoû!E12</f>
        <v>0</v>
      </c>
      <c r="J10" s="21">
        <f>Aoû!E13</f>
        <v>0</v>
      </c>
      <c r="K10" s="21">
        <f>Aoû!E15</f>
        <v>0</v>
      </c>
      <c r="L10" s="21">
        <f>Aoû!E16</f>
        <v>0</v>
      </c>
      <c r="M10" s="22">
        <f>SUM(Tabelle2614[[#This Row],[Restaurants/Cafés]:[Achats]])</f>
        <v>0</v>
      </c>
    </row>
    <row r="11" spans="1:13" x14ac:dyDescent="0.35">
      <c r="A11" s="20" t="s">
        <v>30</v>
      </c>
      <c r="B11" s="21">
        <f>Sep!E4</f>
        <v>0</v>
      </c>
      <c r="C11" s="21">
        <f>Sep!E5</f>
        <v>0</v>
      </c>
      <c r="D11" s="21">
        <f>Sep!E6</f>
        <v>0</v>
      </c>
      <c r="E11" s="21">
        <f>Sep!E7</f>
        <v>0</v>
      </c>
      <c r="F11" s="21">
        <f>Sep!E8</f>
        <v>0</v>
      </c>
      <c r="G11" s="21">
        <f>Sep!E9</f>
        <v>0</v>
      </c>
      <c r="H11" s="21">
        <f>Sep!E10</f>
        <v>0</v>
      </c>
      <c r="I11" s="21">
        <f>Sep!E12</f>
        <v>0</v>
      </c>
      <c r="J11" s="21">
        <f>Sep!E13</f>
        <v>0</v>
      </c>
      <c r="K11" s="21">
        <f>Sep!E15</f>
        <v>0</v>
      </c>
      <c r="L11" s="21">
        <f>Sep!E16</f>
        <v>0</v>
      </c>
      <c r="M11" s="22">
        <f>SUM(Tabelle2614[[#This Row],[Restaurants/Cafés]:[Achats]])</f>
        <v>0</v>
      </c>
    </row>
    <row r="12" spans="1:13" x14ac:dyDescent="0.35">
      <c r="A12" s="20" t="s">
        <v>31</v>
      </c>
      <c r="B12" s="21">
        <f>Oct!E4</f>
        <v>0</v>
      </c>
      <c r="C12" s="21">
        <f>Oct!E5</f>
        <v>0</v>
      </c>
      <c r="D12" s="21">
        <f>Oct!E6</f>
        <v>0</v>
      </c>
      <c r="E12" s="21">
        <f>Oct!E7</f>
        <v>0</v>
      </c>
      <c r="F12" s="21">
        <f>Oct!E8</f>
        <v>0</v>
      </c>
      <c r="G12" s="21">
        <f>Oct!E9</f>
        <v>0</v>
      </c>
      <c r="H12" s="21">
        <f>Oct!E10</f>
        <v>0</v>
      </c>
      <c r="I12" s="21">
        <f>Oct!E12</f>
        <v>0</v>
      </c>
      <c r="J12" s="21">
        <f>Oct!E13</f>
        <v>0</v>
      </c>
      <c r="K12" s="21">
        <f>Oct!E15</f>
        <v>0</v>
      </c>
      <c r="L12" s="21">
        <f>Oct!E16</f>
        <v>0</v>
      </c>
      <c r="M12" s="22">
        <f>SUM(Tabelle2614[[#This Row],[Restaurants/Cafés]:[Achats]])</f>
        <v>0</v>
      </c>
    </row>
    <row r="13" spans="1:13" x14ac:dyDescent="0.35">
      <c r="A13" s="20" t="s">
        <v>32</v>
      </c>
      <c r="B13" s="21">
        <f>Nov!E4</f>
        <v>0</v>
      </c>
      <c r="C13" s="21">
        <f>Nov!E5</f>
        <v>0</v>
      </c>
      <c r="D13" s="21">
        <f>Nov!E6</f>
        <v>0</v>
      </c>
      <c r="E13" s="21">
        <f>Nov!E7</f>
        <v>0</v>
      </c>
      <c r="F13" s="21">
        <f>Nov!E8</f>
        <v>0</v>
      </c>
      <c r="G13" s="21">
        <f>Nov!E9</f>
        <v>0</v>
      </c>
      <c r="H13" s="21">
        <f>Nov!E10</f>
        <v>0</v>
      </c>
      <c r="I13" s="21">
        <f>Nov!E12</f>
        <v>0</v>
      </c>
      <c r="J13" s="21">
        <f>Nov!E13</f>
        <v>0</v>
      </c>
      <c r="K13" s="21">
        <f>Nov!E15</f>
        <v>0</v>
      </c>
      <c r="L13" s="21">
        <f>Nov!E16</f>
        <v>0</v>
      </c>
      <c r="M13" s="22">
        <f>SUM(Tabelle2614[[#This Row],[Restaurants/Cafés]:[Achats]])</f>
        <v>0</v>
      </c>
    </row>
    <row r="14" spans="1:13" x14ac:dyDescent="0.35">
      <c r="A14" s="23" t="s">
        <v>33</v>
      </c>
      <c r="B14" s="21">
        <f>Déc!E4</f>
        <v>0</v>
      </c>
      <c r="C14" s="21">
        <f>Déc!E5</f>
        <v>0</v>
      </c>
      <c r="D14" s="21">
        <f>Déc!E6</f>
        <v>0</v>
      </c>
      <c r="E14" s="21">
        <f>Déc!E7</f>
        <v>0</v>
      </c>
      <c r="F14" s="21">
        <f>Déc!E8</f>
        <v>0</v>
      </c>
      <c r="G14" s="21">
        <f>Déc!E9</f>
        <v>0</v>
      </c>
      <c r="H14" s="21">
        <f>Déc!E10</f>
        <v>0</v>
      </c>
      <c r="I14" s="21">
        <f>Déc!E12</f>
        <v>0</v>
      </c>
      <c r="J14" s="21">
        <f>Déc!E13</f>
        <v>0</v>
      </c>
      <c r="K14" s="21">
        <f>Déc!E15</f>
        <v>0</v>
      </c>
      <c r="L14" s="21">
        <f>Déc!E16</f>
        <v>0</v>
      </c>
      <c r="M14" s="22">
        <f>SUM(Tabelle2614[[#This Row],[Restaurants/Cafés]:[Achats]])</f>
        <v>0</v>
      </c>
    </row>
    <row r="15" spans="1:13" s="10" customFormat="1" x14ac:dyDescent="0.35">
      <c r="A15" s="24" t="s">
        <v>19</v>
      </c>
      <c r="B15" s="25">
        <f>SUM(B3:B14)</f>
        <v>0</v>
      </c>
      <c r="C15" s="25">
        <f>SUM(C3:C14)</f>
        <v>0</v>
      </c>
      <c r="D15" s="25">
        <f t="shared" ref="D15:L15" si="0">SUM(D3:D14)</f>
        <v>0</v>
      </c>
      <c r="E15" s="25">
        <f t="shared" si="0"/>
        <v>0</v>
      </c>
      <c r="F15" s="25">
        <f t="shared" si="0"/>
        <v>0</v>
      </c>
      <c r="G15" s="25">
        <f t="shared" si="0"/>
        <v>0</v>
      </c>
      <c r="H15" s="25">
        <f t="shared" si="0"/>
        <v>0</v>
      </c>
      <c r="I15" s="25">
        <f t="shared" si="0"/>
        <v>0</v>
      </c>
      <c r="J15" s="25">
        <f t="shared" si="0"/>
        <v>0</v>
      </c>
      <c r="K15" s="25">
        <f t="shared" si="0"/>
        <v>0</v>
      </c>
      <c r="L15" s="25">
        <f t="shared" si="0"/>
        <v>0</v>
      </c>
      <c r="M15" s="26">
        <f>SUM(Tabelle2614[[#This Row],[Restaurants/Cafés]:[Achats]])</f>
        <v>0</v>
      </c>
    </row>
    <row r="16" spans="1:13" x14ac:dyDescent="0.35">
      <c r="A16" s="27" t="s">
        <v>21</v>
      </c>
      <c r="B16" s="28">
        <f>AVERAGE(B3:B14)</f>
        <v>0</v>
      </c>
      <c r="C16" s="28">
        <f>AVERAGE(C3:C14)</f>
        <v>0</v>
      </c>
      <c r="D16" s="28">
        <f t="shared" ref="D16:L16" si="1">AVERAGE(D3:D14)</f>
        <v>0</v>
      </c>
      <c r="E16" s="28">
        <f t="shared" si="1"/>
        <v>0</v>
      </c>
      <c r="F16" s="28">
        <f t="shared" si="1"/>
        <v>0</v>
      </c>
      <c r="G16" s="28">
        <f t="shared" si="1"/>
        <v>0</v>
      </c>
      <c r="H16" s="28">
        <f t="shared" si="1"/>
        <v>0</v>
      </c>
      <c r="I16" s="28">
        <f t="shared" si="1"/>
        <v>0</v>
      </c>
      <c r="J16" s="28">
        <f t="shared" si="1"/>
        <v>0</v>
      </c>
      <c r="K16" s="28">
        <f t="shared" si="1"/>
        <v>0</v>
      </c>
      <c r="L16" s="28">
        <f t="shared" si="1"/>
        <v>0</v>
      </c>
      <c r="M16" s="28">
        <f t="shared" ref="M16" si="2">M15/12</f>
        <v>0</v>
      </c>
    </row>
    <row r="18" spans="1:15" x14ac:dyDescent="0.35">
      <c r="E18" s="16"/>
      <c r="J18" s="16"/>
      <c r="L18" s="16"/>
    </row>
    <row r="19" spans="1:15" ht="21" x14ac:dyDescent="0.5">
      <c r="A19" s="38" t="s">
        <v>5</v>
      </c>
      <c r="B19" s="38"/>
      <c r="C19" s="38"/>
      <c r="D19" s="38"/>
    </row>
    <row r="20" spans="1:15" x14ac:dyDescent="0.35">
      <c r="A20" s="14" t="s">
        <v>6</v>
      </c>
      <c r="B20" s="15" t="s">
        <v>7</v>
      </c>
      <c r="C20" s="15" t="s">
        <v>22</v>
      </c>
      <c r="D20" s="15" t="s">
        <v>20</v>
      </c>
    </row>
    <row r="21" spans="1:15" x14ac:dyDescent="0.35">
      <c r="A21" s="20" t="s">
        <v>23</v>
      </c>
      <c r="B21" s="21">
        <f>Jan!E11</f>
        <v>0</v>
      </c>
      <c r="C21" s="21">
        <f>Jan!E14</f>
        <v>0</v>
      </c>
      <c r="D21" s="22">
        <f>SUM(Tabelle261417[[#This Row],[Autres revenus]:[Salaire]])</f>
        <v>0</v>
      </c>
    </row>
    <row r="22" spans="1:15" x14ac:dyDescent="0.35">
      <c r="A22" s="20" t="s">
        <v>24</v>
      </c>
      <c r="B22" s="21">
        <f>Fév!E11</f>
        <v>0</v>
      </c>
      <c r="C22" s="21">
        <f>Fév!E14</f>
        <v>0</v>
      </c>
      <c r="D22" s="22">
        <f>SUM(Tabelle261417[[#This Row],[Autres revenus]:[Salaire]])</f>
        <v>0</v>
      </c>
    </row>
    <row r="23" spans="1:15" x14ac:dyDescent="0.35">
      <c r="A23" s="20" t="s">
        <v>25</v>
      </c>
      <c r="B23" s="21">
        <f>Mar!E11</f>
        <v>0</v>
      </c>
      <c r="C23" s="21">
        <f>Mar!E14</f>
        <v>0</v>
      </c>
      <c r="D23" s="22">
        <f>SUM(Tabelle261417[[#This Row],[Autres revenus]:[Salaire]])</f>
        <v>0</v>
      </c>
    </row>
    <row r="24" spans="1:15" x14ac:dyDescent="0.35">
      <c r="A24" s="20" t="s">
        <v>26</v>
      </c>
      <c r="B24" s="21">
        <f>Avr!E11</f>
        <v>0</v>
      </c>
      <c r="C24" s="21">
        <f>Avr!E14</f>
        <v>0</v>
      </c>
      <c r="D24" s="22">
        <f>SUM(Tabelle261417[[#This Row],[Autres revenus]:[Salaire]])</f>
        <v>0</v>
      </c>
    </row>
    <row r="25" spans="1:15" x14ac:dyDescent="0.35">
      <c r="A25" s="20" t="s">
        <v>2</v>
      </c>
      <c r="B25" s="21">
        <f>Mai!E11</f>
        <v>0</v>
      </c>
      <c r="C25" s="21">
        <f>Mai!E14</f>
        <v>0</v>
      </c>
      <c r="D25" s="22">
        <f>SUM(Tabelle261417[[#This Row],[Autres revenus]:[Salaire]])</f>
        <v>0</v>
      </c>
    </row>
    <row r="26" spans="1:15" x14ac:dyDescent="0.35">
      <c r="A26" s="20" t="s">
        <v>27</v>
      </c>
      <c r="B26" s="21">
        <f>Juin!E11</f>
        <v>0</v>
      </c>
      <c r="C26" s="21">
        <f>Juin!E14</f>
        <v>0</v>
      </c>
      <c r="D26" s="22">
        <f>SUM(Tabelle261417[[#This Row],[Autres revenus]:[Salaire]])</f>
        <v>0</v>
      </c>
    </row>
    <row r="27" spans="1:15" x14ac:dyDescent="0.35">
      <c r="A27" s="20" t="s">
        <v>28</v>
      </c>
      <c r="B27" s="21">
        <f>Juil!E11</f>
        <v>0</v>
      </c>
      <c r="C27" s="21">
        <f>Juil!E14</f>
        <v>0</v>
      </c>
      <c r="D27" s="22">
        <f>SUM(Tabelle261417[[#This Row],[Autres revenus]:[Salaire]])</f>
        <v>0</v>
      </c>
      <c r="L27" s="16"/>
    </row>
    <row r="28" spans="1:15" x14ac:dyDescent="0.35">
      <c r="A28" s="20" t="s">
        <v>29</v>
      </c>
      <c r="B28" s="21">
        <f>Aoû!E11</f>
        <v>0</v>
      </c>
      <c r="C28" s="21">
        <f>Aoû!E14</f>
        <v>0</v>
      </c>
      <c r="D28" s="22">
        <f>SUM(Tabelle261417[[#This Row],[Autres revenus]:[Salaire]])</f>
        <v>0</v>
      </c>
      <c r="K28" s="16"/>
      <c r="L28" s="16"/>
      <c r="O28" s="17"/>
    </row>
    <row r="29" spans="1:15" x14ac:dyDescent="0.35">
      <c r="A29" s="20" t="s">
        <v>30</v>
      </c>
      <c r="B29" s="21">
        <f>Sep!E11</f>
        <v>0</v>
      </c>
      <c r="C29" s="21">
        <f>Sep!E14</f>
        <v>0</v>
      </c>
      <c r="D29" s="22">
        <f>SUM(Tabelle261417[[#This Row],[Autres revenus]:[Salaire]])</f>
        <v>0</v>
      </c>
      <c r="K29" s="16"/>
      <c r="L29" s="16"/>
    </row>
    <row r="30" spans="1:15" x14ac:dyDescent="0.35">
      <c r="A30" s="20" t="s">
        <v>31</v>
      </c>
      <c r="B30" s="21">
        <f>Oct!E11</f>
        <v>0</v>
      </c>
      <c r="C30" s="21">
        <f>Oct!E14</f>
        <v>0</v>
      </c>
      <c r="D30" s="22">
        <f>SUM(Tabelle261417[[#This Row],[Autres revenus]:[Salaire]])</f>
        <v>0</v>
      </c>
      <c r="K30" s="16"/>
      <c r="L30" s="16"/>
    </row>
    <row r="31" spans="1:15" x14ac:dyDescent="0.35">
      <c r="A31" s="20" t="s">
        <v>32</v>
      </c>
      <c r="B31" s="21">
        <f>Nov!E11</f>
        <v>0</v>
      </c>
      <c r="C31" s="21">
        <f>Nov!E14</f>
        <v>0</v>
      </c>
      <c r="D31" s="22">
        <f>SUM(Tabelle261417[[#This Row],[Autres revenus]:[Salaire]])</f>
        <v>0</v>
      </c>
      <c r="K31" s="16"/>
      <c r="L31" s="16"/>
    </row>
    <row r="32" spans="1:15" x14ac:dyDescent="0.35">
      <c r="A32" s="23" t="s">
        <v>33</v>
      </c>
      <c r="B32" s="21">
        <f>Déc!E11</f>
        <v>0</v>
      </c>
      <c r="C32" s="21">
        <f>Déc!E14</f>
        <v>0</v>
      </c>
      <c r="D32" s="22">
        <f>SUM(Tabelle261417[[#This Row],[Autres revenus]:[Salaire]])</f>
        <v>0</v>
      </c>
      <c r="K32" s="16"/>
      <c r="L32" s="16"/>
    </row>
    <row r="33" spans="1:15" x14ac:dyDescent="0.35">
      <c r="A33" s="24" t="s">
        <v>19</v>
      </c>
      <c r="B33" s="25">
        <f t="shared" ref="B33" si="3">SUM(B21:B32)</f>
        <v>0</v>
      </c>
      <c r="C33" s="25">
        <f t="shared" ref="C33" si="4">SUM(C21:C32)</f>
        <v>0</v>
      </c>
      <c r="D33" s="25">
        <f>SUM(Tabelle261417[[#This Row],[Autres revenus]:[Salaire]])</f>
        <v>0</v>
      </c>
      <c r="K33" s="16"/>
      <c r="L33" s="16"/>
    </row>
    <row r="34" spans="1:15" x14ac:dyDescent="0.35">
      <c r="A34" s="27" t="s">
        <v>21</v>
      </c>
      <c r="B34" s="28">
        <f t="shared" ref="B34:C34" si="5">AVERAGE(B21:B32)</f>
        <v>0</v>
      </c>
      <c r="C34" s="28">
        <f t="shared" si="5"/>
        <v>0</v>
      </c>
      <c r="D34" s="28">
        <f>SUM(Tabelle261417[[#This Row],[Autres revenus]:[Salaire]])</f>
        <v>0</v>
      </c>
      <c r="K34" s="16"/>
      <c r="L34" s="16"/>
    </row>
    <row r="35" spans="1:15" x14ac:dyDescent="0.35">
      <c r="K35" s="16"/>
      <c r="L35" s="16"/>
    </row>
    <row r="36" spans="1:15" x14ac:dyDescent="0.35">
      <c r="K36" s="16"/>
      <c r="L36" s="16"/>
      <c r="O36" s="17"/>
    </row>
    <row r="37" spans="1:15" x14ac:dyDescent="0.35">
      <c r="K37" s="16"/>
      <c r="L37" s="16"/>
    </row>
    <row r="38" spans="1:15" x14ac:dyDescent="0.35">
      <c r="K38" s="16"/>
      <c r="L38" s="16"/>
    </row>
    <row r="39" spans="1:15" x14ac:dyDescent="0.35">
      <c r="L39" s="16"/>
    </row>
    <row r="40" spans="1:15" x14ac:dyDescent="0.35">
      <c r="H40" s="18"/>
      <c r="L40" s="16"/>
    </row>
    <row r="41" spans="1:15" x14ac:dyDescent="0.35">
      <c r="L41" s="16"/>
    </row>
    <row r="42" spans="1:15" x14ac:dyDescent="0.35">
      <c r="L42" s="16"/>
    </row>
    <row r="43" spans="1:15" x14ac:dyDescent="0.35">
      <c r="L43" s="16"/>
    </row>
    <row r="44" spans="1:15" x14ac:dyDescent="0.35">
      <c r="L44" s="16"/>
    </row>
    <row r="45" spans="1:15" x14ac:dyDescent="0.35">
      <c r="L45" s="16"/>
    </row>
    <row r="55" spans="12:12" x14ac:dyDescent="0.35">
      <c r="L55" s="19"/>
    </row>
  </sheetData>
  <sheetProtection algorithmName="SHA-512" hashValue="OyQ68uL2/ukFxxlvyzDs8BUhgaJ85MfQrV9sBHGtslp3dY+79iMavZE6U4UC0rwfTg0S5Cu79OipSJg3ByfDIw==" saltValue="KRbwIPdoi3GxUPNSgaCo3A==" spinCount="100000" sheet="1" objects="1" scenarios="1"/>
  <mergeCells count="2">
    <mergeCell ref="A1:M1"/>
    <mergeCell ref="A19:D19"/>
  </mergeCells>
  <phoneticPr fontId="3" type="noConversion"/>
  <pageMargins left="0.7" right="0.7" top="0.78740157499999996" bottom="0.78740157499999996" header="0.3" footer="0.3"/>
  <pageSetup paperSize="9" orientation="portrait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7DC8F-E02E-4ABF-AB91-19B3EF60C7E8}">
  <sheetPr>
    <tabColor rgb="FFFFC000"/>
  </sheetPr>
  <dimension ref="A1:J53"/>
  <sheetViews>
    <sheetView zoomScale="78" zoomScaleNormal="78" workbookViewId="0"/>
  </sheetViews>
  <sheetFormatPr baseColWidth="10" defaultRowHeight="14.5" x14ac:dyDescent="0.35"/>
  <cols>
    <col min="1" max="1" width="30.1796875" style="7" bestFit="1" customWidth="1"/>
    <col min="2" max="2" width="10.90625" style="29"/>
    <col min="3" max="3" width="17" style="7" bestFit="1" customWidth="1"/>
    <col min="4" max="16384" width="10.90625" style="7"/>
  </cols>
  <sheetData>
    <row r="1" spans="1:7" x14ac:dyDescent="0.35">
      <c r="A1" s="7" t="s">
        <v>23</v>
      </c>
    </row>
    <row r="3" spans="1:7" x14ac:dyDescent="0.35">
      <c r="A3" s="30" t="s">
        <v>55</v>
      </c>
      <c r="B3" s="31" t="s">
        <v>59</v>
      </c>
      <c r="C3" s="30" t="s">
        <v>60</v>
      </c>
      <c r="D3" s="7" t="s">
        <v>55</v>
      </c>
      <c r="E3" s="7" t="s">
        <v>59</v>
      </c>
    </row>
    <row r="4" spans="1:7" x14ac:dyDescent="0.35">
      <c r="D4" s="7" t="s">
        <v>8</v>
      </c>
      <c r="E4" s="32">
        <f>SUMIF(Tabelle215[Catégorie],"Restaurants/Cafés",Tabelle215[Montant])</f>
        <v>0</v>
      </c>
      <c r="F4" s="16"/>
      <c r="G4" s="16"/>
    </row>
    <row r="5" spans="1:7" x14ac:dyDescent="0.35">
      <c r="D5" s="7" t="s">
        <v>10</v>
      </c>
      <c r="E5" s="32">
        <f>SUMIF(Tabelle215[Catégorie],"Loisirs",Tabelle215[Montant])</f>
        <v>0</v>
      </c>
      <c r="F5" s="16"/>
    </row>
    <row r="6" spans="1:7" x14ac:dyDescent="0.35">
      <c r="D6" s="7" t="s">
        <v>11</v>
      </c>
      <c r="E6" s="32">
        <f>SUMIF(Tabelle215[Catégorie],"Cadeaux",Tabelle215[Montant])</f>
        <v>0</v>
      </c>
    </row>
    <row r="7" spans="1:7" x14ac:dyDescent="0.35">
      <c r="D7" s="7" t="s">
        <v>12</v>
      </c>
      <c r="E7" s="32">
        <f>SUMIF(Tabelle215[Catégorie],"Alimentation",Tabelle215[Montant])</f>
        <v>0</v>
      </c>
    </row>
    <row r="8" spans="1:7" x14ac:dyDescent="0.35">
      <c r="D8" s="7" t="s">
        <v>13</v>
      </c>
      <c r="E8" s="32">
        <f>SUMIF(Tabelle215[Catégorie],"Assurances",Tabelle215[Montant])</f>
        <v>0</v>
      </c>
      <c r="F8" s="16"/>
    </row>
    <row r="9" spans="1:7" x14ac:dyDescent="0.35">
      <c r="D9" s="7" t="s">
        <v>0</v>
      </c>
      <c r="E9" s="32">
        <f>SUMIF(Tabelle215[Catégorie],"Internet",Tabelle215[Montant])</f>
        <v>0</v>
      </c>
      <c r="F9" s="16"/>
    </row>
    <row r="10" spans="1:7" x14ac:dyDescent="0.35">
      <c r="D10" s="7" t="s">
        <v>14</v>
      </c>
      <c r="E10" s="32">
        <f>SUMIF(Tabelle215[Catégorie],"Autres dépenses",Tabelle215[Montant])</f>
        <v>0</v>
      </c>
      <c r="F10" s="16"/>
    </row>
    <row r="11" spans="1:7" x14ac:dyDescent="0.35">
      <c r="D11" s="7" t="s">
        <v>7</v>
      </c>
      <c r="E11" s="32">
        <f>SUMIF(Tabelle215[Catégorie],"Autres revenus",Tabelle215[Montant])</f>
        <v>0</v>
      </c>
    </row>
    <row r="12" spans="1:7" x14ac:dyDescent="0.35">
      <c r="D12" s="7" t="s">
        <v>15</v>
      </c>
      <c r="E12" s="32">
        <f>SUMIF(Tabelle215[Catégorie],"Téléphone",Tabelle215[Montant])</f>
        <v>0</v>
      </c>
      <c r="F12" s="16"/>
    </row>
    <row r="13" spans="1:7" x14ac:dyDescent="0.35">
      <c r="D13" s="7" t="s">
        <v>16</v>
      </c>
      <c r="E13" s="32">
        <f>SUMIF(Tabelle215[Catégorie],"Loyer",Tabelle215[Montant])</f>
        <v>0</v>
      </c>
    </row>
    <row r="14" spans="1:7" x14ac:dyDescent="0.35">
      <c r="D14" s="7" t="s">
        <v>22</v>
      </c>
      <c r="E14" s="32">
        <f>SUMIF(Tabelle215[Catégorie],"Salaire",Tabelle215[Montant])</f>
        <v>0</v>
      </c>
      <c r="F14" s="16"/>
    </row>
    <row r="15" spans="1:7" x14ac:dyDescent="0.35">
      <c r="D15" s="7" t="s">
        <v>17</v>
      </c>
      <c r="E15" s="32">
        <f>SUMIF(Tabelle215[Catégorie],"Épargne",Tabelle215[Montant])</f>
        <v>0</v>
      </c>
      <c r="F15" s="16"/>
    </row>
    <row r="16" spans="1:7" x14ac:dyDescent="0.35">
      <c r="D16" s="7" t="s">
        <v>18</v>
      </c>
      <c r="E16" s="32">
        <f>SUMIF(Tabelle215[Catégorie],"Achats",Tabelle215[Montant])</f>
        <v>0</v>
      </c>
      <c r="F16" s="16"/>
    </row>
    <row r="17" spans="5:6" x14ac:dyDescent="0.35">
      <c r="E17" s="16"/>
      <c r="F17" s="16"/>
    </row>
    <row r="18" spans="5:6" x14ac:dyDescent="0.35">
      <c r="E18" s="16"/>
      <c r="F18" s="16"/>
    </row>
    <row r="19" spans="5:6" x14ac:dyDescent="0.35">
      <c r="E19" s="16"/>
    </row>
    <row r="20" spans="5:6" x14ac:dyDescent="0.35">
      <c r="E20" s="16"/>
      <c r="F20" s="16"/>
    </row>
    <row r="33" spans="7:10" x14ac:dyDescent="0.35">
      <c r="J33" s="16"/>
    </row>
    <row r="34" spans="7:10" x14ac:dyDescent="0.35">
      <c r="G34" s="16"/>
      <c r="J34" s="16"/>
    </row>
    <row r="35" spans="7:10" x14ac:dyDescent="0.35">
      <c r="G35" s="16"/>
      <c r="J35" s="16"/>
    </row>
    <row r="36" spans="7:10" x14ac:dyDescent="0.35">
      <c r="G36" s="16"/>
      <c r="J36" s="16"/>
    </row>
    <row r="37" spans="7:10" x14ac:dyDescent="0.35">
      <c r="G37" s="16"/>
      <c r="J37" s="16"/>
    </row>
    <row r="38" spans="7:10" x14ac:dyDescent="0.35">
      <c r="G38" s="16"/>
      <c r="J38" s="16"/>
    </row>
    <row r="39" spans="7:10" x14ac:dyDescent="0.35">
      <c r="G39" s="16"/>
      <c r="J39" s="16"/>
    </row>
    <row r="40" spans="7:10" x14ac:dyDescent="0.35">
      <c r="G40" s="16"/>
      <c r="J40" s="16"/>
    </row>
    <row r="41" spans="7:10" x14ac:dyDescent="0.35">
      <c r="G41" s="16"/>
      <c r="J41" s="16"/>
    </row>
    <row r="42" spans="7:10" x14ac:dyDescent="0.35">
      <c r="G42" s="16"/>
      <c r="J42" s="16"/>
    </row>
    <row r="43" spans="7:10" x14ac:dyDescent="0.35">
      <c r="G43" s="16"/>
      <c r="J43" s="16"/>
    </row>
    <row r="44" spans="7:10" x14ac:dyDescent="0.35">
      <c r="G44" s="16"/>
      <c r="J44" s="16"/>
    </row>
    <row r="45" spans="7:10" x14ac:dyDescent="0.35">
      <c r="G45" s="16"/>
      <c r="J45" s="16"/>
    </row>
    <row r="46" spans="7:10" x14ac:dyDescent="0.35">
      <c r="G46" s="16"/>
      <c r="J46" s="16"/>
    </row>
    <row r="47" spans="7:10" x14ac:dyDescent="0.35">
      <c r="G47" s="16"/>
      <c r="J47" s="16"/>
    </row>
    <row r="48" spans="7:10" x14ac:dyDescent="0.35">
      <c r="G48" s="16"/>
      <c r="J48" s="16"/>
    </row>
    <row r="49" spans="7:7" x14ac:dyDescent="0.35">
      <c r="G49" s="16"/>
    </row>
    <row r="52" spans="7:7" x14ac:dyDescent="0.35">
      <c r="G52" s="16"/>
    </row>
    <row r="53" spans="7:7" x14ac:dyDescent="0.35">
      <c r="G53" s="16"/>
    </row>
  </sheetData>
  <sheetProtection algorithmName="SHA-512" hashValue="vOmyawEWFQKTUVDfUJu+4Wjz18x55ko4iWAvcfDLITfvlUopYfDdFUTd+bgxfiCW8mXev5uhPDrA8vlC2lBNhg==" saltValue="5qX30e+8+CgwwP/GZZrXlg==" spinCount="100000" sheet="1" objects="1" scenarios="1"/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5EB31F-870E-4337-87B2-DB182B7125BF}">
          <x14:formula1>
            <xm:f>Catégories!$A$2:$A$49</xm:f>
          </x14:formula1>
          <xm:sqref>A4:A61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10A18-06F6-4F08-A5DA-51D0A1200E9A}">
  <sheetPr>
    <tabColor rgb="FFFFC000"/>
  </sheetPr>
  <dimension ref="A1:J53"/>
  <sheetViews>
    <sheetView zoomScale="78" zoomScaleNormal="78" workbookViewId="0">
      <selection activeCell="F28" sqref="F28"/>
    </sheetView>
  </sheetViews>
  <sheetFormatPr baseColWidth="10" defaultRowHeight="14.5" x14ac:dyDescent="0.35"/>
  <cols>
    <col min="1" max="1" width="30.1796875" style="7" bestFit="1" customWidth="1"/>
    <col min="2" max="2" width="10.90625" style="29"/>
    <col min="3" max="3" width="17" style="7" bestFit="1" customWidth="1"/>
    <col min="4" max="16384" width="10.90625" style="7"/>
  </cols>
  <sheetData>
    <row r="1" spans="1:7" x14ac:dyDescent="0.35">
      <c r="A1" s="7" t="s">
        <v>24</v>
      </c>
    </row>
    <row r="3" spans="1:7" x14ac:dyDescent="0.35">
      <c r="A3" s="30" t="s">
        <v>55</v>
      </c>
      <c r="B3" s="31" t="s">
        <v>59</v>
      </c>
      <c r="C3" s="30" t="s">
        <v>60</v>
      </c>
      <c r="D3" s="7" t="s">
        <v>55</v>
      </c>
      <c r="E3" s="7" t="s">
        <v>59</v>
      </c>
    </row>
    <row r="4" spans="1:7" x14ac:dyDescent="0.35">
      <c r="D4" s="7" t="s">
        <v>8</v>
      </c>
      <c r="E4" s="32">
        <f>SUMIF(Tabelle21516[Catégorie],"Restaurants/Cafés",Tabelle21516[Montant])</f>
        <v>0</v>
      </c>
      <c r="F4" s="16"/>
      <c r="G4" s="16"/>
    </row>
    <row r="5" spans="1:7" x14ac:dyDescent="0.35">
      <c r="D5" s="7" t="s">
        <v>10</v>
      </c>
      <c r="E5" s="32">
        <f>SUMIF(Tabelle21516[Catégorie],"Loisirs",Tabelle21516[Montant])</f>
        <v>0</v>
      </c>
      <c r="F5" s="16"/>
    </row>
    <row r="6" spans="1:7" x14ac:dyDescent="0.35">
      <c r="D6" s="7" t="s">
        <v>11</v>
      </c>
      <c r="E6" s="32">
        <f>SUMIF(Tabelle21516[Catégorie],"Cadeaux",Tabelle21516[Montant])</f>
        <v>0</v>
      </c>
    </row>
    <row r="7" spans="1:7" x14ac:dyDescent="0.35">
      <c r="D7" s="7" t="s">
        <v>12</v>
      </c>
      <c r="E7" s="32">
        <f>SUMIF(Tabelle21516[Catégorie],"Alimentation",Tabelle21516[Montant])</f>
        <v>0</v>
      </c>
    </row>
    <row r="8" spans="1:7" x14ac:dyDescent="0.35">
      <c r="D8" s="7" t="s">
        <v>13</v>
      </c>
      <c r="E8" s="32">
        <f>SUMIF(Tabelle21516[Catégorie],"Assurances",Tabelle21516[Montant])</f>
        <v>0</v>
      </c>
      <c r="F8" s="16"/>
    </row>
    <row r="9" spans="1:7" x14ac:dyDescent="0.35">
      <c r="D9" s="7" t="s">
        <v>0</v>
      </c>
      <c r="E9" s="32">
        <f>SUMIF(Tabelle21516[Catégorie],"Internet",Tabelle21516[Montant])</f>
        <v>0</v>
      </c>
      <c r="F9" s="16"/>
    </row>
    <row r="10" spans="1:7" x14ac:dyDescent="0.35">
      <c r="D10" s="7" t="s">
        <v>14</v>
      </c>
      <c r="E10" s="32">
        <f>SUMIF(Tabelle21516[Catégorie],"Autres dépenses",Tabelle21516[Montant])</f>
        <v>0</v>
      </c>
      <c r="F10" s="16"/>
    </row>
    <row r="11" spans="1:7" x14ac:dyDescent="0.35">
      <c r="D11" s="7" t="s">
        <v>7</v>
      </c>
      <c r="E11" s="32">
        <f>SUMIF(Tabelle21516[Catégorie],"Autres revenus",Tabelle21516[Montant])</f>
        <v>0</v>
      </c>
    </row>
    <row r="12" spans="1:7" x14ac:dyDescent="0.35">
      <c r="D12" s="7" t="s">
        <v>15</v>
      </c>
      <c r="E12" s="32">
        <f>SUMIF(Tabelle21516[Catégorie],"Téléphone",Tabelle21516[Montant])</f>
        <v>0</v>
      </c>
      <c r="F12" s="16"/>
    </row>
    <row r="13" spans="1:7" x14ac:dyDescent="0.35">
      <c r="D13" s="7" t="s">
        <v>16</v>
      </c>
      <c r="E13" s="32">
        <f>SUMIF(Tabelle21516[Catégorie],"Loyer",Tabelle21516[Montant])</f>
        <v>0</v>
      </c>
    </row>
    <row r="14" spans="1:7" x14ac:dyDescent="0.35">
      <c r="D14" s="7" t="s">
        <v>22</v>
      </c>
      <c r="E14" s="32">
        <f>SUMIF(Tabelle21516[Catégorie],"Salaire",Tabelle21516[Montant])</f>
        <v>0</v>
      </c>
      <c r="F14" s="16"/>
    </row>
    <row r="15" spans="1:7" x14ac:dyDescent="0.35">
      <c r="D15" s="7" t="s">
        <v>17</v>
      </c>
      <c r="E15" s="32">
        <f>SUMIF(Tabelle21516[Catégorie],"Épargne",Tabelle21516[Montant])</f>
        <v>0</v>
      </c>
      <c r="F15" s="16"/>
    </row>
    <row r="16" spans="1:7" x14ac:dyDescent="0.35">
      <c r="D16" s="7" t="s">
        <v>18</v>
      </c>
      <c r="E16" s="32">
        <f>SUMIF(Tabelle21516[Catégorie],"Achats",Tabelle21516[Montant])</f>
        <v>0</v>
      </c>
      <c r="F16" s="16"/>
    </row>
    <row r="17" spans="5:6" x14ac:dyDescent="0.35">
      <c r="E17" s="16"/>
      <c r="F17" s="16"/>
    </row>
    <row r="18" spans="5:6" x14ac:dyDescent="0.35">
      <c r="E18" s="16"/>
      <c r="F18" s="16"/>
    </row>
    <row r="19" spans="5:6" x14ac:dyDescent="0.35">
      <c r="E19" s="16"/>
    </row>
    <row r="20" spans="5:6" x14ac:dyDescent="0.35">
      <c r="E20" s="16"/>
      <c r="F20" s="16"/>
    </row>
    <row r="33" spans="7:10" x14ac:dyDescent="0.35">
      <c r="J33" s="16"/>
    </row>
    <row r="34" spans="7:10" x14ac:dyDescent="0.35">
      <c r="G34" s="16"/>
      <c r="J34" s="16"/>
    </row>
    <row r="35" spans="7:10" x14ac:dyDescent="0.35">
      <c r="G35" s="16"/>
      <c r="J35" s="16"/>
    </row>
    <row r="36" spans="7:10" x14ac:dyDescent="0.35">
      <c r="G36" s="16"/>
      <c r="J36" s="16"/>
    </row>
    <row r="37" spans="7:10" x14ac:dyDescent="0.35">
      <c r="G37" s="16"/>
      <c r="J37" s="16"/>
    </row>
    <row r="38" spans="7:10" x14ac:dyDescent="0.35">
      <c r="G38" s="16"/>
      <c r="J38" s="16"/>
    </row>
    <row r="39" spans="7:10" x14ac:dyDescent="0.35">
      <c r="G39" s="16"/>
      <c r="J39" s="16"/>
    </row>
    <row r="40" spans="7:10" x14ac:dyDescent="0.35">
      <c r="G40" s="16"/>
      <c r="J40" s="16"/>
    </row>
    <row r="41" spans="7:10" x14ac:dyDescent="0.35">
      <c r="G41" s="16"/>
      <c r="J41" s="16"/>
    </row>
    <row r="42" spans="7:10" x14ac:dyDescent="0.35">
      <c r="G42" s="16"/>
      <c r="J42" s="16"/>
    </row>
    <row r="43" spans="7:10" x14ac:dyDescent="0.35">
      <c r="G43" s="16"/>
      <c r="J43" s="16"/>
    </row>
    <row r="44" spans="7:10" x14ac:dyDescent="0.35">
      <c r="G44" s="16"/>
      <c r="J44" s="16"/>
    </row>
    <row r="45" spans="7:10" x14ac:dyDescent="0.35">
      <c r="G45" s="16"/>
      <c r="J45" s="16"/>
    </row>
    <row r="46" spans="7:10" x14ac:dyDescent="0.35">
      <c r="G46" s="16"/>
      <c r="J46" s="16"/>
    </row>
    <row r="47" spans="7:10" x14ac:dyDescent="0.35">
      <c r="G47" s="16"/>
      <c r="J47" s="16"/>
    </row>
    <row r="48" spans="7:10" x14ac:dyDescent="0.35">
      <c r="G48" s="16"/>
      <c r="J48" s="16"/>
    </row>
    <row r="49" spans="7:7" x14ac:dyDescent="0.35">
      <c r="G49" s="16"/>
    </row>
    <row r="52" spans="7:7" x14ac:dyDescent="0.35">
      <c r="G52" s="16"/>
    </row>
    <row r="53" spans="7:7" x14ac:dyDescent="0.35">
      <c r="G53" s="16"/>
    </row>
  </sheetData>
  <sheetProtection algorithmName="SHA-512" hashValue="40HOrLHO1aDLGGfgdmHowd4wEFzu0zeK5yowYmfffGLfiIbB0EQLVFqhMC7VBgkrvtYaQepHZFLLDXJYlDlF6w==" saltValue="QCFPDXCemVd49hH6bbhtYQ==" spinCount="100000" sheet="1" objects="1" scenarios="1"/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7E7CDAD-9908-4066-AAC4-76404CCBB017}">
          <x14:formula1>
            <xm:f>Catégories!$A$2:$A$49</xm:f>
          </x14:formula1>
          <xm:sqref>A4:A61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45F60-1852-4E13-9E5E-ECBC527E38E8}">
  <sheetPr>
    <tabColor rgb="FFFFC000"/>
  </sheetPr>
  <dimension ref="A1:J53"/>
  <sheetViews>
    <sheetView zoomScale="78" zoomScaleNormal="78" workbookViewId="0">
      <selection activeCell="E4" sqref="E4:E16"/>
    </sheetView>
  </sheetViews>
  <sheetFormatPr baseColWidth="10" defaultRowHeight="14.5" x14ac:dyDescent="0.35"/>
  <cols>
    <col min="1" max="1" width="30.1796875" style="7" bestFit="1" customWidth="1"/>
    <col min="2" max="2" width="10.90625" style="29"/>
    <col min="3" max="3" width="17" style="7" bestFit="1" customWidth="1"/>
    <col min="4" max="16384" width="10.90625" style="7"/>
  </cols>
  <sheetData>
    <row r="1" spans="1:7" x14ac:dyDescent="0.35">
      <c r="A1" s="7" t="s">
        <v>25</v>
      </c>
    </row>
    <row r="3" spans="1:7" x14ac:dyDescent="0.35">
      <c r="A3" s="30" t="s">
        <v>55</v>
      </c>
      <c r="B3" s="31" t="s">
        <v>59</v>
      </c>
      <c r="C3" s="30" t="s">
        <v>60</v>
      </c>
      <c r="D3" s="7" t="s">
        <v>55</v>
      </c>
      <c r="E3" s="7" t="s">
        <v>59</v>
      </c>
    </row>
    <row r="4" spans="1:7" x14ac:dyDescent="0.35">
      <c r="D4" s="7" t="s">
        <v>8</v>
      </c>
      <c r="E4" s="32">
        <f>SUMIF(Tabelle2151618[Catégorie],"Restaurants/Cafés",Tabelle2151618[Montant])</f>
        <v>0</v>
      </c>
      <c r="F4" s="16"/>
      <c r="G4" s="16"/>
    </row>
    <row r="5" spans="1:7" x14ac:dyDescent="0.35">
      <c r="D5" s="7" t="s">
        <v>10</v>
      </c>
      <c r="E5" s="32">
        <f>SUMIF(Tabelle2151618[Catégorie],"Loisirs",Tabelle2151618[Montant])</f>
        <v>0</v>
      </c>
      <c r="F5" s="16"/>
    </row>
    <row r="6" spans="1:7" x14ac:dyDescent="0.35">
      <c r="D6" s="7" t="s">
        <v>11</v>
      </c>
      <c r="E6" s="32">
        <f>SUMIF(Tabelle2151618[Catégorie],"Cadeaux",Tabelle2151618[Montant])</f>
        <v>0</v>
      </c>
    </row>
    <row r="7" spans="1:7" x14ac:dyDescent="0.35">
      <c r="D7" s="7" t="s">
        <v>12</v>
      </c>
      <c r="E7" s="32">
        <f>SUMIF(Tabelle2151618[Catégorie],"Alimentation",Tabelle2151618[Montant])</f>
        <v>0</v>
      </c>
    </row>
    <row r="8" spans="1:7" x14ac:dyDescent="0.35">
      <c r="D8" s="7" t="s">
        <v>13</v>
      </c>
      <c r="E8" s="32">
        <f>SUMIF(Tabelle2151618[Catégorie],"Assurances",Tabelle2151618[Montant])</f>
        <v>0</v>
      </c>
      <c r="F8" s="16"/>
    </row>
    <row r="9" spans="1:7" x14ac:dyDescent="0.35">
      <c r="D9" s="7" t="s">
        <v>0</v>
      </c>
      <c r="E9" s="32">
        <f>SUMIF(Tabelle2151618[Catégorie],"Internet",Tabelle2151618[Montant])</f>
        <v>0</v>
      </c>
      <c r="F9" s="16"/>
    </row>
    <row r="10" spans="1:7" x14ac:dyDescent="0.35">
      <c r="D10" s="7" t="s">
        <v>14</v>
      </c>
      <c r="E10" s="32">
        <f>SUMIF(Tabelle2151618[Catégorie],"Autres dépenses",Tabelle2151618[Montant])</f>
        <v>0</v>
      </c>
      <c r="F10" s="16"/>
    </row>
    <row r="11" spans="1:7" x14ac:dyDescent="0.35">
      <c r="D11" s="7" t="s">
        <v>7</v>
      </c>
      <c r="E11" s="32">
        <f>SUMIF(Tabelle2151618[Catégorie],"Autres revenus",Tabelle2151618[Montant])</f>
        <v>0</v>
      </c>
    </row>
    <row r="12" spans="1:7" x14ac:dyDescent="0.35">
      <c r="D12" s="7" t="s">
        <v>15</v>
      </c>
      <c r="E12" s="32">
        <f>SUMIF(Tabelle2151618[Catégorie],"Téléphone",Tabelle2151618[Montant])</f>
        <v>0</v>
      </c>
      <c r="F12" s="16"/>
    </row>
    <row r="13" spans="1:7" x14ac:dyDescent="0.35">
      <c r="D13" s="7" t="s">
        <v>16</v>
      </c>
      <c r="E13" s="32">
        <f>SUMIF(Tabelle2151618[Catégorie],"Loyer",Tabelle2151618[Montant])</f>
        <v>0</v>
      </c>
    </row>
    <row r="14" spans="1:7" x14ac:dyDescent="0.35">
      <c r="D14" s="7" t="s">
        <v>22</v>
      </c>
      <c r="E14" s="32">
        <f>SUMIF(Tabelle2151618[Catégorie],"Salaire",Tabelle2151618[Montant])</f>
        <v>0</v>
      </c>
      <c r="F14" s="16"/>
    </row>
    <row r="15" spans="1:7" x14ac:dyDescent="0.35">
      <c r="D15" s="7" t="s">
        <v>17</v>
      </c>
      <c r="E15" s="32">
        <f>SUMIF(Tabelle2151618[Catégorie],"Épargne",Tabelle2151618[Montant])</f>
        <v>0</v>
      </c>
      <c r="F15" s="16"/>
    </row>
    <row r="16" spans="1:7" x14ac:dyDescent="0.35">
      <c r="D16" s="7" t="s">
        <v>18</v>
      </c>
      <c r="E16" s="32">
        <f>SUMIF(Tabelle2151618[Catégorie],"Achats",Tabelle2151618[Montant])</f>
        <v>0</v>
      </c>
      <c r="F16" s="16"/>
    </row>
    <row r="17" spans="5:6" x14ac:dyDescent="0.35">
      <c r="E17" s="16"/>
      <c r="F17" s="16"/>
    </row>
    <row r="18" spans="5:6" x14ac:dyDescent="0.35">
      <c r="E18" s="16"/>
      <c r="F18" s="16"/>
    </row>
    <row r="19" spans="5:6" x14ac:dyDescent="0.35">
      <c r="E19" s="16"/>
    </row>
    <row r="20" spans="5:6" x14ac:dyDescent="0.35">
      <c r="E20" s="16"/>
      <c r="F20" s="16"/>
    </row>
    <row r="33" spans="7:10" x14ac:dyDescent="0.35">
      <c r="J33" s="16"/>
    </row>
    <row r="34" spans="7:10" x14ac:dyDescent="0.35">
      <c r="G34" s="16"/>
      <c r="J34" s="16"/>
    </row>
    <row r="35" spans="7:10" x14ac:dyDescent="0.35">
      <c r="G35" s="16"/>
      <c r="J35" s="16"/>
    </row>
    <row r="36" spans="7:10" x14ac:dyDescent="0.35">
      <c r="G36" s="16"/>
      <c r="J36" s="16"/>
    </row>
    <row r="37" spans="7:10" x14ac:dyDescent="0.35">
      <c r="G37" s="16"/>
      <c r="J37" s="16"/>
    </row>
    <row r="38" spans="7:10" x14ac:dyDescent="0.35">
      <c r="G38" s="16"/>
      <c r="J38" s="16"/>
    </row>
    <row r="39" spans="7:10" x14ac:dyDescent="0.35">
      <c r="G39" s="16"/>
      <c r="J39" s="16"/>
    </row>
    <row r="40" spans="7:10" x14ac:dyDescent="0.35">
      <c r="G40" s="16"/>
      <c r="J40" s="16"/>
    </row>
    <row r="41" spans="7:10" x14ac:dyDescent="0.35">
      <c r="G41" s="16"/>
      <c r="J41" s="16"/>
    </row>
    <row r="42" spans="7:10" x14ac:dyDescent="0.35">
      <c r="G42" s="16"/>
      <c r="J42" s="16"/>
    </row>
    <row r="43" spans="7:10" x14ac:dyDescent="0.35">
      <c r="G43" s="16"/>
      <c r="J43" s="16"/>
    </row>
    <row r="44" spans="7:10" x14ac:dyDescent="0.35">
      <c r="G44" s="16"/>
      <c r="J44" s="16"/>
    </row>
    <row r="45" spans="7:10" x14ac:dyDescent="0.35">
      <c r="G45" s="16"/>
      <c r="J45" s="16"/>
    </row>
    <row r="46" spans="7:10" x14ac:dyDescent="0.35">
      <c r="G46" s="16"/>
      <c r="J46" s="16"/>
    </row>
    <row r="47" spans="7:10" x14ac:dyDescent="0.35">
      <c r="G47" s="16"/>
      <c r="J47" s="16"/>
    </row>
    <row r="48" spans="7:10" x14ac:dyDescent="0.35">
      <c r="G48" s="16"/>
      <c r="J48" s="16"/>
    </row>
    <row r="49" spans="7:7" x14ac:dyDescent="0.35">
      <c r="G49" s="16"/>
    </row>
    <row r="52" spans="7:7" x14ac:dyDescent="0.35">
      <c r="G52" s="16"/>
    </row>
    <row r="53" spans="7:7" x14ac:dyDescent="0.35">
      <c r="G53" s="16"/>
    </row>
  </sheetData>
  <sheetProtection algorithmName="SHA-512" hashValue="YDZczZiUxj9B00DNSCGfsyD25qRZRukJp/oiEhQcELM6VbM09BopLFnOzbu4RvD3Sl9NTRSlVzhMBAJfBAw87Q==" saltValue="G7WjxCZtlqaYJen1aY0EsQ==" spinCount="100000" sheet="1" objects="1" scenarios="1"/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631F49F-2D55-4543-B36C-0F5E16F60740}">
          <x14:formula1>
            <xm:f>Catégories!$A$2:$A$49</xm:f>
          </x14:formula1>
          <xm:sqref>A4:A61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6907A-BAB3-4CF9-A52B-9C960B3DDF0E}">
  <sheetPr>
    <tabColor rgb="FFFFC000"/>
  </sheetPr>
  <dimension ref="A1:J53"/>
  <sheetViews>
    <sheetView zoomScale="78" zoomScaleNormal="78" workbookViewId="0">
      <selection activeCell="F20" sqref="F20"/>
    </sheetView>
  </sheetViews>
  <sheetFormatPr baseColWidth="10" defaultRowHeight="14.5" x14ac:dyDescent="0.35"/>
  <cols>
    <col min="1" max="1" width="30.1796875" style="7" bestFit="1" customWidth="1"/>
    <col min="2" max="2" width="10.90625" style="29"/>
    <col min="3" max="3" width="17" style="7" bestFit="1" customWidth="1"/>
    <col min="4" max="16384" width="10.90625" style="7"/>
  </cols>
  <sheetData>
    <row r="1" spans="1:7" x14ac:dyDescent="0.35">
      <c r="A1" s="7" t="s">
        <v>26</v>
      </c>
    </row>
    <row r="3" spans="1:7" x14ac:dyDescent="0.35">
      <c r="A3" s="30" t="s">
        <v>55</v>
      </c>
      <c r="B3" s="31" t="s">
        <v>59</v>
      </c>
      <c r="C3" s="30" t="s">
        <v>60</v>
      </c>
      <c r="D3" s="7" t="s">
        <v>55</v>
      </c>
      <c r="E3" s="7" t="s">
        <v>59</v>
      </c>
    </row>
    <row r="4" spans="1:7" x14ac:dyDescent="0.35">
      <c r="D4" s="7" t="s">
        <v>8</v>
      </c>
      <c r="E4" s="32">
        <f>SUMIF(Tabelle215161819[Catégorie],"Restaurants/Cafés",Tabelle215161819[Montant])</f>
        <v>0</v>
      </c>
      <c r="F4" s="16"/>
      <c r="G4" s="16"/>
    </row>
    <row r="5" spans="1:7" x14ac:dyDescent="0.35">
      <c r="D5" s="7" t="s">
        <v>10</v>
      </c>
      <c r="E5" s="32">
        <f>SUMIF(Tabelle215161819[Catégorie],"Loisirs",Tabelle215161819[Montant])</f>
        <v>0</v>
      </c>
      <c r="F5" s="16"/>
    </row>
    <row r="6" spans="1:7" x14ac:dyDescent="0.35">
      <c r="D6" s="7" t="s">
        <v>11</v>
      </c>
      <c r="E6" s="32">
        <f>SUMIF(Tabelle215161819[Catégorie],"Cadeaux",Tabelle215161819[Montant])</f>
        <v>0</v>
      </c>
    </row>
    <row r="7" spans="1:7" x14ac:dyDescent="0.35">
      <c r="D7" s="7" t="s">
        <v>12</v>
      </c>
      <c r="E7" s="32">
        <f>SUMIF(Tabelle215161819[Catégorie],"Alimentation",Tabelle215161819[Montant])</f>
        <v>0</v>
      </c>
    </row>
    <row r="8" spans="1:7" x14ac:dyDescent="0.35">
      <c r="D8" s="7" t="s">
        <v>13</v>
      </c>
      <c r="E8" s="32">
        <f>SUMIF(Tabelle215161819[Catégorie],"Assurances",Tabelle215161819[Montant])</f>
        <v>0</v>
      </c>
      <c r="F8" s="16"/>
    </row>
    <row r="9" spans="1:7" x14ac:dyDescent="0.35">
      <c r="D9" s="7" t="s">
        <v>0</v>
      </c>
      <c r="E9" s="32">
        <f>SUMIF(Tabelle215161819[Catégorie],"Internet",Tabelle215161819[Montant])</f>
        <v>0</v>
      </c>
      <c r="F9" s="16"/>
    </row>
    <row r="10" spans="1:7" x14ac:dyDescent="0.35">
      <c r="D10" s="7" t="s">
        <v>14</v>
      </c>
      <c r="E10" s="32">
        <f>SUMIF(Tabelle215161819[Catégorie],"Autres dépenses",Tabelle215161819[Montant])</f>
        <v>0</v>
      </c>
      <c r="F10" s="16"/>
    </row>
    <row r="11" spans="1:7" x14ac:dyDescent="0.35">
      <c r="D11" s="7" t="s">
        <v>7</v>
      </c>
      <c r="E11" s="32">
        <f>SUMIF(Tabelle215161819[Catégorie],"Autres revenus",Tabelle215161819[Montant])</f>
        <v>0</v>
      </c>
    </row>
    <row r="12" spans="1:7" x14ac:dyDescent="0.35">
      <c r="D12" s="7" t="s">
        <v>15</v>
      </c>
      <c r="E12" s="32">
        <f>SUMIF(Tabelle215161819[Catégorie],"Téléphone",Tabelle215161819[Montant])</f>
        <v>0</v>
      </c>
      <c r="F12" s="16"/>
    </row>
    <row r="13" spans="1:7" x14ac:dyDescent="0.35">
      <c r="D13" s="7" t="s">
        <v>16</v>
      </c>
      <c r="E13" s="32">
        <f>SUMIF(Tabelle215161819[Catégorie],"Loyer",Tabelle215161819[Montant])</f>
        <v>0</v>
      </c>
    </row>
    <row r="14" spans="1:7" x14ac:dyDescent="0.35">
      <c r="D14" s="7" t="s">
        <v>22</v>
      </c>
      <c r="E14" s="32">
        <f>SUMIF(Tabelle215161819[Catégorie],"Salaire",Tabelle215161819[Montant])</f>
        <v>0</v>
      </c>
      <c r="F14" s="16"/>
    </row>
    <row r="15" spans="1:7" x14ac:dyDescent="0.35">
      <c r="D15" s="7" t="s">
        <v>17</v>
      </c>
      <c r="E15" s="32">
        <f>SUMIF(Tabelle215161819[Catégorie],"Épargne",Tabelle215161819[Montant])</f>
        <v>0</v>
      </c>
      <c r="F15" s="16"/>
    </row>
    <row r="16" spans="1:7" x14ac:dyDescent="0.35">
      <c r="D16" s="7" t="s">
        <v>18</v>
      </c>
      <c r="E16" s="32">
        <f>SUMIF(Tabelle215161819[Catégorie],"Achats",Tabelle215161819[Montant])</f>
        <v>0</v>
      </c>
      <c r="F16" s="16"/>
    </row>
    <row r="17" spans="5:6" x14ac:dyDescent="0.35">
      <c r="E17" s="16"/>
      <c r="F17" s="16"/>
    </row>
    <row r="18" spans="5:6" x14ac:dyDescent="0.35">
      <c r="E18" s="16"/>
      <c r="F18" s="16"/>
    </row>
    <row r="19" spans="5:6" x14ac:dyDescent="0.35">
      <c r="E19" s="16"/>
    </row>
    <row r="20" spans="5:6" x14ac:dyDescent="0.35">
      <c r="E20" s="16"/>
      <c r="F20" s="16"/>
    </row>
    <row r="33" spans="7:10" x14ac:dyDescent="0.35">
      <c r="J33" s="16"/>
    </row>
    <row r="34" spans="7:10" x14ac:dyDescent="0.35">
      <c r="G34" s="16"/>
      <c r="J34" s="16"/>
    </row>
    <row r="35" spans="7:10" x14ac:dyDescent="0.35">
      <c r="G35" s="16"/>
      <c r="J35" s="16"/>
    </row>
    <row r="36" spans="7:10" x14ac:dyDescent="0.35">
      <c r="G36" s="16"/>
      <c r="J36" s="16"/>
    </row>
    <row r="37" spans="7:10" x14ac:dyDescent="0.35">
      <c r="G37" s="16"/>
      <c r="J37" s="16"/>
    </row>
    <row r="38" spans="7:10" x14ac:dyDescent="0.35">
      <c r="G38" s="16"/>
      <c r="J38" s="16"/>
    </row>
    <row r="39" spans="7:10" x14ac:dyDescent="0.35">
      <c r="G39" s="16"/>
      <c r="J39" s="16"/>
    </row>
    <row r="40" spans="7:10" x14ac:dyDescent="0.35">
      <c r="G40" s="16"/>
      <c r="J40" s="16"/>
    </row>
    <row r="41" spans="7:10" x14ac:dyDescent="0.35">
      <c r="G41" s="16"/>
      <c r="J41" s="16"/>
    </row>
    <row r="42" spans="7:10" x14ac:dyDescent="0.35">
      <c r="G42" s="16"/>
      <c r="J42" s="16"/>
    </row>
    <row r="43" spans="7:10" x14ac:dyDescent="0.35">
      <c r="G43" s="16"/>
      <c r="J43" s="16"/>
    </row>
    <row r="44" spans="7:10" x14ac:dyDescent="0.35">
      <c r="G44" s="16"/>
      <c r="J44" s="16"/>
    </row>
    <row r="45" spans="7:10" x14ac:dyDescent="0.35">
      <c r="G45" s="16"/>
      <c r="J45" s="16"/>
    </row>
    <row r="46" spans="7:10" x14ac:dyDescent="0.35">
      <c r="G46" s="16"/>
      <c r="J46" s="16"/>
    </row>
    <row r="47" spans="7:10" x14ac:dyDescent="0.35">
      <c r="G47" s="16"/>
      <c r="J47" s="16"/>
    </row>
    <row r="48" spans="7:10" x14ac:dyDescent="0.35">
      <c r="G48" s="16"/>
      <c r="J48" s="16"/>
    </row>
    <row r="49" spans="7:7" x14ac:dyDescent="0.35">
      <c r="G49" s="16"/>
    </row>
    <row r="52" spans="7:7" x14ac:dyDescent="0.35">
      <c r="G52" s="16"/>
    </row>
    <row r="53" spans="7:7" x14ac:dyDescent="0.35">
      <c r="G53" s="16"/>
    </row>
  </sheetData>
  <sheetProtection algorithmName="SHA-512" hashValue="TW1kScGutjRvkZyikKWdOSqsPCYSGPR8R7GguxsmdJstmW7sho0CQBtiQMCEi+g766srazM27fw3fkSe4o9qqg==" saltValue="jCrWCQVmWWxBwTPIdvxocg==" spinCount="100000" sheet="1" objects="1" scenarios="1"/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A4C6FE4-7678-4293-9453-2CC61D9CDF8A}">
          <x14:formula1>
            <xm:f>Catégories!$A$2:$A$49</xm:f>
          </x14:formula1>
          <xm:sqref>A4:A61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C93E0-7034-413F-BFC7-A4D856EBAFE5}">
  <sheetPr>
    <tabColor rgb="FFFFC000"/>
  </sheetPr>
  <dimension ref="A1:J53"/>
  <sheetViews>
    <sheetView zoomScale="78" zoomScaleNormal="78" workbookViewId="0">
      <selection activeCell="G25" sqref="G25"/>
    </sheetView>
  </sheetViews>
  <sheetFormatPr baseColWidth="10" defaultRowHeight="14.5" x14ac:dyDescent="0.35"/>
  <cols>
    <col min="1" max="1" width="30.1796875" style="7" bestFit="1" customWidth="1"/>
    <col min="2" max="2" width="10.90625" style="29"/>
    <col min="3" max="3" width="17" style="7" bestFit="1" customWidth="1"/>
    <col min="4" max="16384" width="10.90625" style="7"/>
  </cols>
  <sheetData>
    <row r="1" spans="1:7" x14ac:dyDescent="0.35">
      <c r="A1" s="7" t="s">
        <v>2</v>
      </c>
    </row>
    <row r="3" spans="1:7" x14ac:dyDescent="0.35">
      <c r="A3" s="30" t="s">
        <v>55</v>
      </c>
      <c r="B3" s="31" t="s">
        <v>59</v>
      </c>
      <c r="C3" s="30" t="s">
        <v>60</v>
      </c>
      <c r="D3" s="7" t="s">
        <v>55</v>
      </c>
      <c r="E3" s="7" t="s">
        <v>59</v>
      </c>
    </row>
    <row r="4" spans="1:7" x14ac:dyDescent="0.35">
      <c r="D4" s="7" t="s">
        <v>8</v>
      </c>
      <c r="E4" s="32">
        <f>SUMIF(Tabelle21516181920[Catégorie],"Restaurants/Cafés",Tabelle21516181920[Montant])</f>
        <v>0</v>
      </c>
      <c r="F4" s="16"/>
      <c r="G4" s="16"/>
    </row>
    <row r="5" spans="1:7" x14ac:dyDescent="0.35">
      <c r="D5" s="7" t="s">
        <v>10</v>
      </c>
      <c r="E5" s="32">
        <f>SUMIF(Tabelle21516181920[Catégorie],"Loisirs",Tabelle21516181920[Montant])</f>
        <v>0</v>
      </c>
      <c r="F5" s="16"/>
    </row>
    <row r="6" spans="1:7" x14ac:dyDescent="0.35">
      <c r="D6" s="7" t="s">
        <v>11</v>
      </c>
      <c r="E6" s="32">
        <f>SUMIF(Tabelle21516181920[Catégorie],"Cadeaux",Tabelle21516181920[Montant])</f>
        <v>0</v>
      </c>
    </row>
    <row r="7" spans="1:7" x14ac:dyDescent="0.35">
      <c r="D7" s="7" t="s">
        <v>12</v>
      </c>
      <c r="E7" s="32">
        <f>SUMIF(Tabelle21516181920[Catégorie],"Alimentation",Tabelle21516181920[Montant])</f>
        <v>0</v>
      </c>
    </row>
    <row r="8" spans="1:7" x14ac:dyDescent="0.35">
      <c r="D8" s="7" t="s">
        <v>13</v>
      </c>
      <c r="E8" s="32">
        <f>SUMIF(Tabelle21516181920[Catégorie],"Assurances",Tabelle21516181920[Montant])</f>
        <v>0</v>
      </c>
      <c r="F8" s="16"/>
    </row>
    <row r="9" spans="1:7" x14ac:dyDescent="0.35">
      <c r="D9" s="7" t="s">
        <v>0</v>
      </c>
      <c r="E9" s="32">
        <f>SUMIF(Tabelle21516181920[Catégorie],"Internet",Tabelle21516181920[Montant])</f>
        <v>0</v>
      </c>
      <c r="F9" s="16"/>
    </row>
    <row r="10" spans="1:7" x14ac:dyDescent="0.35">
      <c r="D10" s="7" t="s">
        <v>14</v>
      </c>
      <c r="E10" s="32">
        <f>SUMIF(Tabelle21516181920[Catégorie],"Autres dépenses",Tabelle21516181920[Montant])</f>
        <v>0</v>
      </c>
      <c r="F10" s="16"/>
    </row>
    <row r="11" spans="1:7" x14ac:dyDescent="0.35">
      <c r="D11" s="7" t="s">
        <v>7</v>
      </c>
      <c r="E11" s="32">
        <f>SUMIF(Tabelle21516181920[Catégorie],"Autres revenus",Tabelle21516181920[Montant])</f>
        <v>0</v>
      </c>
    </row>
    <row r="12" spans="1:7" x14ac:dyDescent="0.35">
      <c r="D12" s="7" t="s">
        <v>15</v>
      </c>
      <c r="E12" s="32">
        <f>SUMIF(Tabelle21516181920[Catégorie],"Téléphone",Tabelle21516181920[Montant])</f>
        <v>0</v>
      </c>
      <c r="F12" s="16"/>
    </row>
    <row r="13" spans="1:7" x14ac:dyDescent="0.35">
      <c r="D13" s="7" t="s">
        <v>16</v>
      </c>
      <c r="E13" s="32">
        <f>SUMIF(Tabelle21516181920[Catégorie],"Loyer",Tabelle21516181920[Montant])</f>
        <v>0</v>
      </c>
    </row>
    <row r="14" spans="1:7" x14ac:dyDescent="0.35">
      <c r="D14" s="7" t="s">
        <v>22</v>
      </c>
      <c r="E14" s="32">
        <f>SUMIF(Tabelle21516181920[Catégorie],"Salaire",Tabelle21516181920[Montant])</f>
        <v>0</v>
      </c>
      <c r="F14" s="16"/>
    </row>
    <row r="15" spans="1:7" x14ac:dyDescent="0.35">
      <c r="D15" s="7" t="s">
        <v>17</v>
      </c>
      <c r="E15" s="32">
        <f>SUMIF(Tabelle21516181920[Catégorie],"Épargne",Tabelle21516181920[Montant])</f>
        <v>0</v>
      </c>
      <c r="F15" s="16"/>
    </row>
    <row r="16" spans="1:7" x14ac:dyDescent="0.35">
      <c r="D16" s="7" t="s">
        <v>18</v>
      </c>
      <c r="E16" s="32">
        <f>SUMIF(Tabelle21516181920[Catégorie],"Achats",Tabelle21516181920[Montant])</f>
        <v>0</v>
      </c>
      <c r="F16" s="16"/>
    </row>
    <row r="17" spans="5:6" x14ac:dyDescent="0.35">
      <c r="E17" s="16"/>
      <c r="F17" s="16"/>
    </row>
    <row r="18" spans="5:6" x14ac:dyDescent="0.35">
      <c r="E18" s="16"/>
      <c r="F18" s="16"/>
    </row>
    <row r="19" spans="5:6" x14ac:dyDescent="0.35">
      <c r="E19" s="16"/>
    </row>
    <row r="20" spans="5:6" x14ac:dyDescent="0.35">
      <c r="E20" s="16"/>
      <c r="F20" s="16"/>
    </row>
    <row r="33" spans="7:10" x14ac:dyDescent="0.35">
      <c r="J33" s="16"/>
    </row>
    <row r="34" spans="7:10" x14ac:dyDescent="0.35">
      <c r="G34" s="16"/>
      <c r="J34" s="16"/>
    </row>
    <row r="35" spans="7:10" x14ac:dyDescent="0.35">
      <c r="G35" s="16"/>
      <c r="J35" s="16"/>
    </row>
    <row r="36" spans="7:10" x14ac:dyDescent="0.35">
      <c r="G36" s="16"/>
      <c r="J36" s="16"/>
    </row>
    <row r="37" spans="7:10" x14ac:dyDescent="0.35">
      <c r="G37" s="16"/>
      <c r="J37" s="16"/>
    </row>
    <row r="38" spans="7:10" x14ac:dyDescent="0.35">
      <c r="G38" s="16"/>
      <c r="J38" s="16"/>
    </row>
    <row r="39" spans="7:10" x14ac:dyDescent="0.35">
      <c r="G39" s="16"/>
      <c r="J39" s="16"/>
    </row>
    <row r="40" spans="7:10" x14ac:dyDescent="0.35">
      <c r="G40" s="16"/>
      <c r="J40" s="16"/>
    </row>
    <row r="41" spans="7:10" x14ac:dyDescent="0.35">
      <c r="G41" s="16"/>
      <c r="J41" s="16"/>
    </row>
    <row r="42" spans="7:10" x14ac:dyDescent="0.35">
      <c r="G42" s="16"/>
      <c r="J42" s="16"/>
    </row>
    <row r="43" spans="7:10" x14ac:dyDescent="0.35">
      <c r="G43" s="16"/>
      <c r="J43" s="16"/>
    </row>
    <row r="44" spans="7:10" x14ac:dyDescent="0.35">
      <c r="G44" s="16"/>
      <c r="J44" s="16"/>
    </row>
    <row r="45" spans="7:10" x14ac:dyDescent="0.35">
      <c r="G45" s="16"/>
      <c r="J45" s="16"/>
    </row>
    <row r="46" spans="7:10" x14ac:dyDescent="0.35">
      <c r="G46" s="16"/>
      <c r="J46" s="16"/>
    </row>
    <row r="47" spans="7:10" x14ac:dyDescent="0.35">
      <c r="G47" s="16"/>
      <c r="J47" s="16"/>
    </row>
    <row r="48" spans="7:10" x14ac:dyDescent="0.35">
      <c r="G48" s="16"/>
      <c r="J48" s="16"/>
    </row>
    <row r="49" spans="7:7" x14ac:dyDescent="0.35">
      <c r="G49" s="16"/>
    </row>
    <row r="52" spans="7:7" x14ac:dyDescent="0.35">
      <c r="G52" s="16"/>
    </row>
    <row r="53" spans="7:7" x14ac:dyDescent="0.35">
      <c r="G53" s="16"/>
    </row>
  </sheetData>
  <sheetProtection algorithmName="SHA-512" hashValue="ZtFPKy5TxTu2HECY/S3NqzI8c7MG/6ARRKOzrEIaqnxEo+WS5zPh1FTm19oe3mHDi/4vgUxgzGKqAbmzWHHyEA==" saltValue="6Z/CwRObQty6pgw/MKPXfg==" spinCount="100000" sheet="1" objects="1" scenarios="1"/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E5F92F8-BF7E-4E94-8E71-05014D040B9B}">
          <x14:formula1>
            <xm:f>Catégories!$A$2:$A$49</xm:f>
          </x14:formula1>
          <xm:sqref>A4:A61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16</vt:i4>
      </vt:variant>
    </vt:vector>
  </HeadingPairs>
  <TitlesOfParts>
    <vt:vector size="16" baseType="lpstr">
      <vt:lpstr>Explications</vt:lpstr>
      <vt:lpstr>Catégories</vt:lpstr>
      <vt:lpstr>Plan</vt:lpstr>
      <vt:lpstr>Vue d'ensemble</vt:lpstr>
      <vt:lpstr>Jan</vt:lpstr>
      <vt:lpstr>Fév</vt:lpstr>
      <vt:lpstr>Mar</vt:lpstr>
      <vt:lpstr>Avr</vt:lpstr>
      <vt:lpstr>Mai</vt:lpstr>
      <vt:lpstr>Juin</vt:lpstr>
      <vt:lpstr>Juil</vt:lpstr>
      <vt:lpstr>Aoû</vt:lpstr>
      <vt:lpstr>Sep</vt:lpstr>
      <vt:lpstr>Oct</vt:lpstr>
      <vt:lpstr>Nov</vt:lpstr>
      <vt:lpstr>Déc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</dc:creator>
  <cp:lastModifiedBy>Karoline Steiner</cp:lastModifiedBy>
  <dcterms:created xsi:type="dcterms:W3CDTF">2023-01-20T19:16:20Z</dcterms:created>
  <dcterms:modified xsi:type="dcterms:W3CDTF">2026-05-30T14:06:32Z</dcterms:modified>
</cp:coreProperties>
</file>