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9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10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11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12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zplanner\Business\Templates\Deutsch Fertig\"/>
    </mc:Choice>
  </mc:AlternateContent>
  <xr:revisionPtr revIDLastSave="0" documentId="13_ncr:1_{46EF88D8-3691-496B-98F9-BE43FD33876F}" xr6:coauthVersionLast="47" xr6:coauthVersionMax="47" xr10:uidLastSave="{00000000-0000-0000-0000-000000000000}"/>
  <bookViews>
    <workbookView xWindow="-110" yWindow="-110" windowWidth="19420" windowHeight="11500" xr2:uid="{D8F1A9FD-8DF9-4EBB-827F-EC73746F0FB2}"/>
  </bookViews>
  <sheets>
    <sheet name="Erklärungen" sheetId="40" r:id="rId1"/>
    <sheet name="Kategorien" sheetId="2" r:id="rId2"/>
    <sheet name="Plan" sheetId="39" r:id="rId3"/>
    <sheet name="Übersicht" sheetId="38" r:id="rId4"/>
    <sheet name="Jan" sheetId="26" r:id="rId5"/>
    <sheet name="Feb" sheetId="41" r:id="rId6"/>
    <sheet name="Mär" sheetId="42" r:id="rId7"/>
    <sheet name="Apr" sheetId="43" r:id="rId8"/>
    <sheet name="Mai" sheetId="44" r:id="rId9"/>
    <sheet name="Jun" sheetId="45" r:id="rId10"/>
    <sheet name="Jul" sheetId="46" r:id="rId11"/>
    <sheet name="Aug" sheetId="47" r:id="rId12"/>
    <sheet name="Sep" sheetId="48" r:id="rId13"/>
    <sheet name="Okt" sheetId="49" r:id="rId14"/>
    <sheet name="Nov" sheetId="50" r:id="rId15"/>
    <sheet name="Dez" sheetId="5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51" l="1"/>
  <c r="E16" i="50"/>
  <c r="E16" i="49"/>
  <c r="E16" i="48"/>
  <c r="E16" i="47"/>
  <c r="E16" i="46"/>
  <c r="E16" i="45"/>
  <c r="E16" i="44"/>
  <c r="E16" i="43"/>
  <c r="E16" i="42"/>
  <c r="E16" i="41"/>
  <c r="E16" i="26"/>
  <c r="E15" i="51"/>
  <c r="E15" i="50"/>
  <c r="E15" i="49"/>
  <c r="E15" i="48"/>
  <c r="E15" i="47"/>
  <c r="E15" i="46"/>
  <c r="E15" i="45"/>
  <c r="E15" i="44"/>
  <c r="E15" i="43"/>
  <c r="E15" i="42"/>
  <c r="E15" i="41"/>
  <c r="E15" i="26"/>
  <c r="E14" i="51"/>
  <c r="E14" i="50"/>
  <c r="E14" i="49"/>
  <c r="E14" i="48"/>
  <c r="E14" i="47"/>
  <c r="E14" i="46"/>
  <c r="E14" i="45"/>
  <c r="E14" i="44"/>
  <c r="E14" i="43"/>
  <c r="E14" i="42"/>
  <c r="E14" i="41"/>
  <c r="E14" i="26"/>
  <c r="E13" i="51"/>
  <c r="E13" i="50"/>
  <c r="E13" i="49"/>
  <c r="E13" i="48"/>
  <c r="E13" i="47"/>
  <c r="E13" i="46"/>
  <c r="E13" i="45"/>
  <c r="E13" i="44"/>
  <c r="E13" i="43"/>
  <c r="E13" i="42"/>
  <c r="E13" i="41"/>
  <c r="E13" i="26"/>
  <c r="E12" i="51"/>
  <c r="E12" i="50"/>
  <c r="E12" i="49"/>
  <c r="E12" i="48"/>
  <c r="E12" i="47"/>
  <c r="E12" i="46"/>
  <c r="E12" i="45"/>
  <c r="E12" i="44"/>
  <c r="E12" i="43"/>
  <c r="E12" i="42"/>
  <c r="E12" i="41"/>
  <c r="E12" i="26"/>
  <c r="E11" i="51"/>
  <c r="E11" i="50"/>
  <c r="E11" i="49"/>
  <c r="E11" i="48"/>
  <c r="E11" i="47"/>
  <c r="E11" i="46"/>
  <c r="E11" i="45"/>
  <c r="E11" i="44"/>
  <c r="E11" i="43"/>
  <c r="E11" i="42"/>
  <c r="E11" i="41"/>
  <c r="E11" i="26"/>
  <c r="E10" i="51"/>
  <c r="E10" i="50"/>
  <c r="E10" i="49"/>
  <c r="E10" i="48"/>
  <c r="E10" i="47"/>
  <c r="E10" i="46"/>
  <c r="E10" i="45"/>
  <c r="E10" i="44"/>
  <c r="E10" i="43"/>
  <c r="E10" i="42"/>
  <c r="E10" i="41"/>
  <c r="E10" i="26"/>
  <c r="E8" i="51"/>
  <c r="E8" i="50"/>
  <c r="E8" i="49"/>
  <c r="E8" i="48"/>
  <c r="E8" i="47"/>
  <c r="E8" i="46"/>
  <c r="E8" i="45"/>
  <c r="E8" i="44"/>
  <c r="E8" i="43"/>
  <c r="E8" i="42"/>
  <c r="E8" i="41"/>
  <c r="E8" i="26"/>
  <c r="E7" i="51"/>
  <c r="E7" i="50"/>
  <c r="E7" i="49"/>
  <c r="E7" i="48"/>
  <c r="E7" i="47"/>
  <c r="E7" i="46"/>
  <c r="E7" i="45"/>
  <c r="E7" i="44"/>
  <c r="E7" i="43"/>
  <c r="E7" i="42"/>
  <c r="E7" i="41"/>
  <c r="E7" i="26"/>
  <c r="E6" i="51"/>
  <c r="E6" i="50"/>
  <c r="E6" i="49"/>
  <c r="E6" i="48"/>
  <c r="E6" i="47"/>
  <c r="E6" i="46"/>
  <c r="E6" i="45"/>
  <c r="E6" i="44"/>
  <c r="E6" i="43"/>
  <c r="E6" i="42"/>
  <c r="E6" i="41"/>
  <c r="E6" i="26"/>
  <c r="E5" i="51"/>
  <c r="E5" i="50"/>
  <c r="E5" i="49"/>
  <c r="E5" i="48"/>
  <c r="E5" i="47"/>
  <c r="E5" i="46"/>
  <c r="E5" i="45"/>
  <c r="E5" i="44"/>
  <c r="E5" i="43"/>
  <c r="E5" i="42"/>
  <c r="E5" i="41"/>
  <c r="E5" i="26"/>
  <c r="E4" i="51"/>
  <c r="E4" i="50"/>
  <c r="E4" i="49"/>
  <c r="E4" i="48"/>
  <c r="E4" i="47"/>
  <c r="E4" i="46"/>
  <c r="E4" i="45"/>
  <c r="E4" i="44"/>
  <c r="E4" i="43"/>
  <c r="E4" i="42"/>
  <c r="E4" i="41"/>
  <c r="E4" i="26"/>
  <c r="B14" i="38" l="1"/>
  <c r="B5" i="38"/>
  <c r="C5" i="38"/>
  <c r="D5" i="38"/>
  <c r="C32" i="38"/>
  <c r="C31" i="38"/>
  <c r="C30" i="38"/>
  <c r="C29" i="38"/>
  <c r="C28" i="38"/>
  <c r="C27" i="38"/>
  <c r="C25" i="38"/>
  <c r="C24" i="38"/>
  <c r="C23" i="38"/>
  <c r="C22" i="38"/>
  <c r="D25" i="38"/>
  <c r="B32" i="38"/>
  <c r="B31" i="38"/>
  <c r="B30" i="38"/>
  <c r="B29" i="38"/>
  <c r="B28" i="38"/>
  <c r="B27" i="38"/>
  <c r="B25" i="38"/>
  <c r="B24" i="38"/>
  <c r="B23" i="38"/>
  <c r="B22" i="38"/>
  <c r="D31" i="38"/>
  <c r="D28" i="38"/>
  <c r="D24" i="38"/>
  <c r="D23" i="38"/>
  <c r="D22" i="38"/>
  <c r="L14" i="38"/>
  <c r="L13" i="38"/>
  <c r="L12" i="38"/>
  <c r="L11" i="38"/>
  <c r="L10" i="38"/>
  <c r="L9" i="38"/>
  <c r="L7" i="38"/>
  <c r="L6" i="38"/>
  <c r="L5" i="38"/>
  <c r="L4" i="38"/>
  <c r="K14" i="38"/>
  <c r="K13" i="38"/>
  <c r="K12" i="38"/>
  <c r="K11" i="38"/>
  <c r="K10" i="38"/>
  <c r="K9" i="38"/>
  <c r="K7" i="38"/>
  <c r="K6" i="38"/>
  <c r="K5" i="38"/>
  <c r="K4" i="38"/>
  <c r="J14" i="38"/>
  <c r="J13" i="38"/>
  <c r="J12" i="38"/>
  <c r="J11" i="38"/>
  <c r="J10" i="38"/>
  <c r="J9" i="38"/>
  <c r="J7" i="38"/>
  <c r="J6" i="38"/>
  <c r="J5" i="38"/>
  <c r="J4" i="38"/>
  <c r="I14" i="38"/>
  <c r="I13" i="38"/>
  <c r="I12" i="38"/>
  <c r="I11" i="38"/>
  <c r="I10" i="38"/>
  <c r="I9" i="38"/>
  <c r="I7" i="38"/>
  <c r="I6" i="38"/>
  <c r="I5" i="38"/>
  <c r="I4" i="38"/>
  <c r="H14" i="38"/>
  <c r="H13" i="38"/>
  <c r="H12" i="38"/>
  <c r="H11" i="38"/>
  <c r="H10" i="38"/>
  <c r="H9" i="38"/>
  <c r="H7" i="38"/>
  <c r="H6" i="38"/>
  <c r="H5" i="38"/>
  <c r="H4" i="38"/>
  <c r="G14" i="38"/>
  <c r="G13" i="38"/>
  <c r="G12" i="38"/>
  <c r="G11" i="38"/>
  <c r="G10" i="38"/>
  <c r="G9" i="38"/>
  <c r="G7" i="38"/>
  <c r="G6" i="38"/>
  <c r="G5" i="38"/>
  <c r="F14" i="38"/>
  <c r="F13" i="38"/>
  <c r="F12" i="38"/>
  <c r="F11" i="38"/>
  <c r="F10" i="38"/>
  <c r="F9" i="38"/>
  <c r="F7" i="38"/>
  <c r="F6" i="38"/>
  <c r="F5" i="38"/>
  <c r="F4" i="38"/>
  <c r="E14" i="38"/>
  <c r="E13" i="38"/>
  <c r="E12" i="38"/>
  <c r="E11" i="38"/>
  <c r="E10" i="38"/>
  <c r="E9" i="38"/>
  <c r="E7" i="38"/>
  <c r="E6" i="38"/>
  <c r="E5" i="38"/>
  <c r="E4" i="38"/>
  <c r="D14" i="38"/>
  <c r="D13" i="38"/>
  <c r="D12" i="38"/>
  <c r="D11" i="38"/>
  <c r="D10" i="38"/>
  <c r="D9" i="38"/>
  <c r="D7" i="38"/>
  <c r="D6" i="38"/>
  <c r="D4" i="38"/>
  <c r="C14" i="38"/>
  <c r="C13" i="38"/>
  <c r="C12" i="38"/>
  <c r="C11" i="38"/>
  <c r="C10" i="38"/>
  <c r="C9" i="38"/>
  <c r="C7" i="38"/>
  <c r="C6" i="38"/>
  <c r="C4" i="38"/>
  <c r="B13" i="38"/>
  <c r="B12" i="38"/>
  <c r="B11" i="38"/>
  <c r="B10" i="38"/>
  <c r="B9" i="38"/>
  <c r="B7" i="38"/>
  <c r="B6" i="38"/>
  <c r="B4" i="38"/>
  <c r="E9" i="51"/>
  <c r="E9" i="50"/>
  <c r="E9" i="49"/>
  <c r="E9" i="48"/>
  <c r="E9" i="47"/>
  <c r="E9" i="46"/>
  <c r="L8" i="38"/>
  <c r="K8" i="38"/>
  <c r="C26" i="38"/>
  <c r="J8" i="38"/>
  <c r="I8" i="38"/>
  <c r="B26" i="38"/>
  <c r="H8" i="38"/>
  <c r="E9" i="45"/>
  <c r="G8" i="38" s="1"/>
  <c r="F8" i="38"/>
  <c r="E8" i="38"/>
  <c r="D8" i="38"/>
  <c r="C8" i="38"/>
  <c r="B8" i="38"/>
  <c r="E9" i="44"/>
  <c r="E9" i="43"/>
  <c r="E9" i="42"/>
  <c r="E9" i="41"/>
  <c r="G4" i="38" s="1"/>
  <c r="L3" i="38"/>
  <c r="K3" i="38"/>
  <c r="C21" i="38"/>
  <c r="J3" i="38"/>
  <c r="I3" i="38"/>
  <c r="B21" i="38"/>
  <c r="H3" i="38"/>
  <c r="E9" i="26"/>
  <c r="G3" i="38" s="1"/>
  <c r="F3" i="38"/>
  <c r="E3" i="38"/>
  <c r="D3" i="38"/>
  <c r="C3" i="38"/>
  <c r="B3" i="38"/>
  <c r="C15" i="39"/>
  <c r="B15" i="39"/>
  <c r="D30" i="38" l="1"/>
  <c r="D29" i="38"/>
  <c r="M3" i="38"/>
  <c r="D21" i="38"/>
  <c r="D32" i="38"/>
  <c r="C33" i="38"/>
  <c r="C34" i="38"/>
  <c r="D26" i="38"/>
  <c r="D27" i="38"/>
  <c r="B33" i="38"/>
  <c r="B34" i="38"/>
  <c r="L15" i="38"/>
  <c r="L16" i="38"/>
  <c r="K16" i="38"/>
  <c r="K15" i="38"/>
  <c r="J16" i="38"/>
  <c r="J15" i="38"/>
  <c r="M6" i="38"/>
  <c r="I16" i="38"/>
  <c r="I15" i="38"/>
  <c r="H15" i="38"/>
  <c r="H16" i="38"/>
  <c r="M11" i="38"/>
  <c r="G15" i="38"/>
  <c r="M12" i="38"/>
  <c r="F16" i="38"/>
  <c r="M4" i="38"/>
  <c r="M14" i="38"/>
  <c r="E16" i="38"/>
  <c r="M5" i="38"/>
  <c r="M7" i="38"/>
  <c r="M9" i="38"/>
  <c r="M13" i="38"/>
  <c r="D15" i="38"/>
  <c r="D16" i="38"/>
  <c r="M8" i="38"/>
  <c r="M10" i="38"/>
  <c r="C15" i="38"/>
  <c r="C16" i="38"/>
  <c r="B16" i="38"/>
  <c r="B15" i="38"/>
  <c r="G16" i="38"/>
  <c r="F15" i="38"/>
  <c r="E15" i="38"/>
  <c r="D16" i="39"/>
  <c r="D33" i="38" l="1"/>
  <c r="D34" i="38"/>
  <c r="M15" i="38"/>
  <c r="M16" i="38" s="1"/>
</calcChain>
</file>

<file path=xl/sharedStrings.xml><?xml version="1.0" encoding="utf-8"?>
<sst xmlns="http://schemas.openxmlformats.org/spreadsheetml/2006/main" count="329" uniqueCount="61">
  <si>
    <t>April</t>
  </si>
  <si>
    <t>August</t>
  </si>
  <si>
    <t>September</t>
  </si>
  <si>
    <t>November</t>
  </si>
  <si>
    <t>Selfcare</t>
  </si>
  <si>
    <t>Internet</t>
  </si>
  <si>
    <t xml:space="preserve">Plan: </t>
  </si>
  <si>
    <t>Dezember</t>
  </si>
  <si>
    <t>Januar</t>
  </si>
  <si>
    <t>Februar</t>
  </si>
  <si>
    <t>März</t>
  </si>
  <si>
    <t>Mai</t>
  </si>
  <si>
    <t>Juni</t>
  </si>
  <si>
    <t>Juli</t>
  </si>
  <si>
    <t>Oktober</t>
  </si>
  <si>
    <t>Essen gehen</t>
  </si>
  <si>
    <t>Freizeit</t>
  </si>
  <si>
    <t xml:space="preserve">Freizeit </t>
  </si>
  <si>
    <t>Geschenke</t>
  </si>
  <si>
    <t>Lebensmittel</t>
  </si>
  <si>
    <t>Versicherungen</t>
  </si>
  <si>
    <t>Sonstige Ausgaben</t>
  </si>
  <si>
    <t>Sonstige Einnahmen</t>
  </si>
  <si>
    <t>Handy</t>
  </si>
  <si>
    <t>Miete</t>
  </si>
  <si>
    <t>Einkommen</t>
  </si>
  <si>
    <t>Ersparnisse</t>
  </si>
  <si>
    <t>Shoppen</t>
  </si>
  <si>
    <t>Kategorie</t>
  </si>
  <si>
    <t>Betrag</t>
  </si>
  <si>
    <t>Anmerkung</t>
  </si>
  <si>
    <t>AUSGABEN</t>
  </si>
  <si>
    <t>EINNAHMEN</t>
  </si>
  <si>
    <t>Monat</t>
  </si>
  <si>
    <t>Summe</t>
  </si>
  <si>
    <t>Summeme</t>
  </si>
  <si>
    <t>Durchschnitt</t>
  </si>
  <si>
    <t>Gesamt</t>
  </si>
  <si>
    <t>Geplante Einnahmen</t>
  </si>
  <si>
    <t>Geplante Ausgaben</t>
  </si>
  <si>
    <t>Kategorien</t>
  </si>
  <si>
    <t xml:space="preserve">Kategorien: </t>
  </si>
  <si>
    <t>Übersicht:</t>
  </si>
  <si>
    <t xml:space="preserve">Monatliche Tabs: </t>
  </si>
  <si>
    <t>Definiere die Kategorien für deine monatlichen Einnahmen und Ausgaben. Du findest Beispiele.</t>
  </si>
  <si>
    <t>ACHTUNG! Ausgaben müssen mit einem Minuszeichen eingegeben werden, damit die Formeln korrekt rechnen.</t>
  </si>
  <si>
    <t>Neben der Tabelle werden deine Transaktionen automatisch zusammengefasst.</t>
  </si>
  <si>
    <t>Rechts findest du eine Statistik, die sich automatisch anhand deiner eingetragenen Transaktionen aktualisiert.</t>
  </si>
  <si>
    <t>Trage jede Transaktion ein, die du in diesem Monat hattest (1. Kategorie auswählen 2. Betrag eingeben 3. Optional einen Kommentar hinzufügen).</t>
  </si>
  <si>
    <t>Hier trägst du ein, wie viel du jeden Monat ausgeben, einnehmen und sparen möchtest. „Summe“ und „Gesamt“ werden automatisch berechnet.</t>
  </si>
  <si>
    <t>Hier trägst du ein, was du jeden Monat in den einzelnen Kategorien tatsächlich ausgegeben bzw. eingenommen hast. „Summe“ und „Durchschnitt“ werden automatisch berechnet.</t>
  </si>
  <si>
    <t>(Kino, Escape Room, Festivals, Bowling,…)&gt;&gt; könnte auch mit Essen gehen kombiniert werden</t>
  </si>
  <si>
    <t>(Schuhe, Kleidungoes, Make-up, Haushaltsartikel,…)</t>
  </si>
  <si>
    <t>Andere mögliche Kategorien:</t>
  </si>
  <si>
    <t>Kreditkarten</t>
  </si>
  <si>
    <t>Gesundheit</t>
  </si>
  <si>
    <t>Reisen</t>
  </si>
  <si>
    <t>Sport</t>
  </si>
  <si>
    <t>Weiterbildung</t>
  </si>
  <si>
    <t>(Therapie, Massage, Nägel machen, Friseur…)</t>
  </si>
  <si>
    <t>(Sprachkurse, Uni, Musikunterricht,…)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</si>
</sst>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0" fillId="0" borderId="0" xfId="0" applyAlignment="1"/>
    <xf numFmtId="0" fontId="0" fillId="6" borderId="0" xfId="0" applyFill="1"/>
    <xf numFmtId="0" fontId="7" fillId="6" borderId="1" xfId="2" applyFill="1" applyBorder="1"/>
    <xf numFmtId="0" fontId="7" fillId="0" borderId="1" xfId="2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" xfId="0" applyNumberFormat="1" applyBorder="1" applyProtection="1"/>
    <xf numFmtId="164" fontId="0" fillId="2" borderId="7" xfId="0" applyNumberFormat="1" applyFill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165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165" fontId="1" fillId="0" borderId="0" xfId="0" applyNumberFormat="1" applyFont="1" applyProtection="1">
      <protection locked="0"/>
    </xf>
    <xf numFmtId="0" fontId="0" fillId="0" borderId="4" xfId="0" applyBorder="1" applyProtection="1"/>
    <xf numFmtId="165" fontId="0" fillId="0" borderId="1" xfId="1" applyNumberFormat="1" applyFont="1" applyBorder="1" applyProtection="1"/>
    <xf numFmtId="165" fontId="0" fillId="0" borderId="3" xfId="0" applyNumberFormat="1" applyBorder="1" applyProtection="1"/>
    <xf numFmtId="0" fontId="0" fillId="0" borderId="5" xfId="0" applyBorder="1" applyProtection="1"/>
    <xf numFmtId="0" fontId="1" fillId="3" borderId="5" xfId="0" applyFont="1" applyFill="1" applyBorder="1" applyProtection="1"/>
    <xf numFmtId="165" fontId="1" fillId="3" borderId="6" xfId="0" applyNumberFormat="1" applyFont="1" applyFill="1" applyBorder="1" applyProtection="1"/>
    <xf numFmtId="165" fontId="0" fillId="3" borderId="3" xfId="0" applyNumberFormat="1" applyFill="1" applyBorder="1" applyProtection="1"/>
    <xf numFmtId="0" fontId="1" fillId="2" borderId="5" xfId="0" applyFont="1" applyFill="1" applyBorder="1" applyProtection="1"/>
    <xf numFmtId="165" fontId="0" fillId="2" borderId="6" xfId="0" applyNumberFormat="1" applyFill="1" applyBorder="1" applyProtection="1"/>
    <xf numFmtId="164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5" borderId="0" xfId="1" applyFont="1" applyFill="1" applyAlignment="1" applyProtection="1">
      <alignment horizontal="center"/>
      <protection locked="0"/>
    </xf>
    <xf numFmtId="165" fontId="0" fillId="0" borderId="0" xfId="0" applyNumberFormat="1" applyProtection="1"/>
    <xf numFmtId="0" fontId="0" fillId="0" borderId="1" xfId="0" applyBorder="1" applyAlignment="1">
      <alignment horizontal="left"/>
    </xf>
    <xf numFmtId="0" fontId="7" fillId="0" borderId="1" xfId="2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6" fillId="4" borderId="0" xfId="0" applyFont="1" applyFill="1" applyAlignment="1" applyProtection="1">
      <alignment horizont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87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9966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22-451D-BA05-31D3F1E44BF7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22-451D-BA05-31D3F1E44BF7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22-451D-BA05-31D3F1E44BF7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22-451D-BA05-31D3F1E44BF7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22-451D-BA05-31D3F1E44BF7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22-451D-BA05-31D3F1E44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Jan!$D$4:$D$16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Jan!$E$4:$E$16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22-451D-BA05-31D3F1E4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D-46A9-B9F9-B4277970B07C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9D-46A9-B9F9-B4277970B07C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D-46A9-B9F9-B4277970B07C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9D-46A9-B9F9-B4277970B07C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D-46A9-B9F9-B4277970B07C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9D-46A9-B9F9-B4277970B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Okt!$D$4:$D$16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Okt!$E$4:$E$16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9D-46A9-B9F9-B4277970B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4-4E1F-A505-FABE39726AA3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4-4E1F-A505-FABE39726AA3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4-4E1F-A505-FABE39726AA3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4-4E1F-A505-FABE39726AA3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4-4E1F-A505-FABE39726AA3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4-4E1F-A505-FABE39726A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Nov!$E$4:$E$16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A4-4E1F-A505-FABE3972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Dez!$E$3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61-4D16-AE98-BC3B5147D843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1-4D16-AE98-BC3B5147D843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1-4D16-AE98-BC3B5147D843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1-4D16-AE98-BC3B5147D843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1-4D16-AE98-BC3B5147D843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1-4D16-AE98-BC3B5147D8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Dez!$D$4:$D$16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Dez!$E$4:$E$16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61-4D16-AE98-BC3B5147D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5-4F47-B433-9196D417FC39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5-4F47-B433-9196D417FC39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25-4F47-B433-9196D417FC39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5-4F47-B433-9196D417FC39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25-4F47-B433-9196D417FC39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25-4F47-B433-9196D417FC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Feb!$D$4:$D$16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Feb!$E$4:$E$16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25-4F47-B433-9196D417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Mär!$E$3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33-4E7C-9935-D33A780E324C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33-4E7C-9935-D33A780E324C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33-4E7C-9935-D33A780E324C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33-4E7C-9935-D33A780E324C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33-4E7C-9935-D33A780E324C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33-4E7C-9935-D33A780E3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Mär!$D$4:$D$16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Mär!$E$4:$E$16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33-4E7C-9935-D33A780E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08-4077-9C6A-535925696DB9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08-4077-9C6A-535925696DB9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08-4077-9C6A-535925696DB9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08-4077-9C6A-535925696DB9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08-4077-9C6A-535925696DB9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08-4077-9C6A-535925696D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Apr!$D$4:$D$16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Apr!$E$4:$E$16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08-4077-9C6A-53592569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06-4E8C-A676-87697D31429B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06-4E8C-A676-87697D31429B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6-4E8C-A676-87697D31429B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6-4E8C-A676-87697D31429B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6-4E8C-A676-87697D31429B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6-4E8C-A676-87697D3142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Mai!$D$4:$D$16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Mai!$E$4:$E$16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06-4E8C-A676-87697D31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4-4E6D-B20B-350EAE7DA623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4-4E6D-B20B-350EAE7DA623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34-4E6D-B20B-350EAE7DA623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34-4E6D-B20B-350EAE7DA623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34-4E6D-B20B-350EAE7DA623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4-4E6D-B20B-350EAE7DA6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Jun!$D$4:$D$16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Jun!$E$4:$E$16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34-4E6D-B20B-350EAE7D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7C-445B-AF7F-673EE65B20C2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C-445B-AF7F-673EE65B20C2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C-445B-AF7F-673EE65B20C2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C-445B-AF7F-673EE65B20C2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7C-445B-AF7F-673EE65B20C2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C-445B-AF7F-673EE65B2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Jul!$D$4:$D$16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Jul!$E$4:$E$16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C-445B-AF7F-673EE65B2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Aug!$E$3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9-455F-BC19-B25E1E99AD17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9-455F-BC19-B25E1E99AD17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9-455F-BC19-B25E1E99AD17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9-455F-BC19-B25E1E99AD17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9-455F-BC19-B25E1E99AD17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79-455F-BC19-B25E1E99AD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Aug!$D$4:$D$16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Aug!$E$4:$E$16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79-455F-BC19-B25E1E99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Sep!$E$3</c:f>
              <c:strCache>
                <c:ptCount val="1"/>
                <c:pt idx="0">
                  <c:v>Betrag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704461427348319E-2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D7-4336-B66F-2A3C58EA5751}"/>
                </c:ext>
              </c:extLst>
            </c:dLbl>
            <c:dLbl>
              <c:idx val="1"/>
              <c:layout>
                <c:manualLayout>
                  <c:x val="-1.3655204998573039E-2"/>
                  <c:y val="-0.209999737532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D7-4336-B66F-2A3C58EA5751}"/>
                </c:ext>
              </c:extLst>
            </c:dLbl>
            <c:dLbl>
              <c:idx val="2"/>
              <c:layout>
                <c:manualLayout>
                  <c:x val="-7.8029742848988795E-3"/>
                  <c:y val="-9.99997375328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D7-4336-B66F-2A3C58EA5751}"/>
                </c:ext>
              </c:extLst>
            </c:dLbl>
            <c:dLbl>
              <c:idx val="3"/>
              <c:layout>
                <c:manualLayout>
                  <c:x val="-7.8029742848988795E-3"/>
                  <c:y val="-0.20666640419947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D7-4336-B66F-2A3C58EA5751}"/>
                </c:ext>
              </c:extLst>
            </c:dLbl>
            <c:dLbl>
              <c:idx val="4"/>
              <c:layout>
                <c:manualLayout>
                  <c:x val="-7.8029742848988795E-3"/>
                  <c:y val="-0.189999737532808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D7-4336-B66F-2A3C58EA5751}"/>
                </c:ext>
              </c:extLst>
            </c:dLbl>
            <c:dLbl>
              <c:idx val="5"/>
              <c:layout>
                <c:manualLayout>
                  <c:x val="3.9014871424494398E-3"/>
                  <c:y val="-0.173333070866141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D7-4336-B66F-2A3C58EA57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Sep!$D$4:$D$16</c:f>
              <c:strCache>
                <c:ptCount val="13"/>
                <c:pt idx="0">
                  <c:v>Essen gehen</c:v>
                </c:pt>
                <c:pt idx="1">
                  <c:v>Freizeit </c:v>
                </c:pt>
                <c:pt idx="2">
                  <c:v>Geschenke</c:v>
                </c:pt>
                <c:pt idx="3">
                  <c:v>Lebensmittel</c:v>
                </c:pt>
                <c:pt idx="4">
                  <c:v>Versicherungen</c:v>
                </c:pt>
                <c:pt idx="5">
                  <c:v>Internet</c:v>
                </c:pt>
                <c:pt idx="6">
                  <c:v>Sonstige Ausgaben</c:v>
                </c:pt>
                <c:pt idx="7">
                  <c:v>Sonstige Einnahmen</c:v>
                </c:pt>
                <c:pt idx="8">
                  <c:v>Handy</c:v>
                </c:pt>
                <c:pt idx="9">
                  <c:v>Miete</c:v>
                </c:pt>
                <c:pt idx="10">
                  <c:v>Einkommen</c:v>
                </c:pt>
                <c:pt idx="11">
                  <c:v>Ersparnisse</c:v>
                </c:pt>
                <c:pt idx="12">
                  <c:v>Shoppen</c:v>
                </c:pt>
              </c:strCache>
            </c:strRef>
          </c:cat>
          <c:val>
            <c:numRef>
              <c:f>Sep!$E$4:$E$16</c:f>
              <c:numCache>
                <c:formatCode>"€"\ 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D7-4336-B66F-2A3C58EA5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75736"/>
        <c:axId val="450480328"/>
      </c:barChart>
      <c:catAx>
        <c:axId val="450475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80328"/>
        <c:crosses val="autoZero"/>
        <c:auto val="1"/>
        <c:lblAlgn val="ctr"/>
        <c:lblOffset val="100"/>
        <c:noMultiLvlLbl val="0"/>
      </c:catAx>
      <c:valAx>
        <c:axId val="45048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0475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CE66A17-2F82-4D4F-A509-482B414A8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E876CDB-3F8C-4397-8039-F1A16B61E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A6FF2F2-1065-4077-9FBB-DCAFF506C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5646FDF-D13F-48BD-9597-5623E4BAD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470176-1CF2-42BA-A00A-0FD970B0E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7388943-BC23-406A-AAC1-9CC9ED673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EC81A6D-6D39-41D3-BC17-20244D3C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CB1E08F-E32F-4322-B676-6A6072D08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A49775A-A06F-494F-9C47-BAA884B1C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447AA94-2EA3-43F6-9FD7-DE65DD10D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AEFA617-0322-43CB-8115-DC8E6B7D8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244189</xdr:colOff>
      <xdr:row>2</xdr:row>
      <xdr:rowOff>92483</xdr:rowOff>
    </xdr:from>
    <xdr:to>
      <xdr:col>15</xdr:col>
      <xdr:colOff>658527</xdr:colOff>
      <xdr:row>21</xdr:row>
      <xdr:rowOff>92483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20ADBF5-F544-450E-8298-FE96E615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FDB9F3-6663-4C70-95D9-A2E12CB686CE}" name="Tabelle1" displayName="Tabelle1" ref="A1:A27" totalsRowShown="0">
  <autoFilter ref="A1:A27" xr:uid="{2BFDB9F3-6663-4C70-95D9-A2E12CB686CE}"/>
  <sortState xmlns:xlrd2="http://schemas.microsoft.com/office/spreadsheetml/2017/richdata2" ref="A2:A14">
    <sortCondition ref="A1:A27"/>
  </sortState>
  <tableColumns count="1">
    <tableColumn id="1" xr3:uid="{F3EBE770-22B0-4F59-9596-77E104CA3850}" name="Kategorien"/>
  </tableColumns>
  <tableStyleInfo name="TableStyleLight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2EA2064-57AE-4B28-9ABA-A97CBCA0D5F8}" name="Tabelle215161819202122" displayName="Tabelle215161819202122" ref="A3:C70" totalsRowShown="0" headerRowDxfId="29" dataDxfId="2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DFDA5461-090D-435F-A03F-46D082238108}" name="Kategorie" dataDxfId="27"/>
    <tableColumn id="2" xr3:uid="{304C192A-E002-419C-8F2C-A8FD1F8E3604}" name="Betrag" dataDxfId="26" dataCellStyle="Währung"/>
    <tableColumn id="3" xr3:uid="{90A19A6E-F0BF-4785-849E-A98649E260C1}" name="Anmerkung" dataDxfId="2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C4F94D4-69D3-4AC4-BB01-569388A06A84}" name="Tabelle21516181920212223" displayName="Tabelle21516181920212223" ref="A3:C70" totalsRowShown="0" headerRowDxfId="24" dataDxfId="2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0EC1BFC8-BD82-4591-8E73-23B3B4B8B319}" name="Kategorie" dataDxfId="22"/>
    <tableColumn id="2" xr3:uid="{4C536784-D614-42A8-BA39-89C935A87B43}" name="Betrag" dataDxfId="21" dataCellStyle="Währung"/>
    <tableColumn id="3" xr3:uid="{E9BD032B-1376-492C-9346-BA392D94E002}" name="Anmerkung" dataDxfId="20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1AEEB00-FC2E-421C-9814-5613353422D3}" name="Tabelle2151618192021222324" displayName="Tabelle2151618192021222324" ref="A3:C70" totalsRowShown="0" headerRowDxfId="19" dataDxfId="1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FF467024-7677-498F-B8FB-FEAEF3912B4F}" name="Kategorie" dataDxfId="17"/>
    <tableColumn id="2" xr3:uid="{E4C8D9A3-414C-4D29-9C47-FFD9474CCA8C}" name="Betrag" dataDxfId="16" dataCellStyle="Währung"/>
    <tableColumn id="3" xr3:uid="{65132DC5-7F52-4644-ABFB-C60CE3CF53F5}" name="Anmerkung" dataDxfId="1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B96922C-A467-47B3-AB9E-FDDF78BD3FD3}" name="Tabelle215161819202122232425" displayName="Tabelle215161819202122232425" ref="A3:C70" totalsRowShown="0" headerRowDxfId="14" dataDxfId="1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C6D2519E-075D-40D8-B4AB-20339C3E5369}" name="Kategorie" dataDxfId="12"/>
    <tableColumn id="2" xr3:uid="{7150BFBE-F6F3-49B4-919E-91BD80446DBD}" name="Betrag" dataDxfId="11" dataCellStyle="Währung"/>
    <tableColumn id="3" xr3:uid="{F888C548-E3E1-4E8A-9D6A-22D5B2A61188}" name="Anmerkung" dataDxfId="1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10C20AA-7CF9-464A-8B7F-2B86EB5CF08A}" name="Tabelle21516181920212223242526" displayName="Tabelle21516181920212223242526" ref="A3:C70" totalsRowShown="0" headerRowDxfId="9" dataDxfId="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8FEAEC7E-F027-4B45-A8F5-2F2257B699F5}" name="Kategorie" dataDxfId="7"/>
    <tableColumn id="2" xr3:uid="{1236FECB-1297-4567-B19E-058153277E7C}" name="Betrag" dataDxfId="6" dataCellStyle="Währung"/>
    <tableColumn id="3" xr3:uid="{7C5839C8-EAFA-4E9C-9F30-4BBCB1C38336}" name="Anmerkung" dataDxfId="5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2F2781A-2275-4E2A-97D9-3F889DD5A29D}" name="Tabelle2151618192021222324252627" displayName="Tabelle2151618192021222324252627" ref="A3:C70" totalsRowShown="0" headerRowDxfId="4" dataDxfId="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C77774F1-0774-4D25-AA38-F4A5D71DAD68}" name="Kategorie" dataDxfId="2"/>
    <tableColumn id="2" xr3:uid="{4096A287-8A10-4DBF-8E42-011A549F769D}" name="Betrag" dataDxfId="1" dataCellStyle="Währung"/>
    <tableColumn id="3" xr3:uid="{3C4C4D6C-8EE7-4C7A-AB2C-7186E9506D14}" name="Anmerkung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1073B3-1640-4F38-94FC-46123DA421C4}" name="Tabelle2614" displayName="Tabelle2614" ref="A2:M16" totalsRowShown="0" headerRowDxfId="86" dataDxfId="84" headerRowBorderDxfId="85" tableBorderDxfId="83" totalsRowBorderDxfId="82">
  <autoFilter ref="A2:M16" xr:uid="{376A4A7A-5F93-479A-AF5F-1920DDC64236}"/>
  <tableColumns count="13">
    <tableColumn id="1" xr3:uid="{DE0461CB-2261-46B2-A93C-54B0DF62CC22}" name="Monat" dataDxfId="81"/>
    <tableColumn id="2" xr3:uid="{BC306AB5-7696-401C-8FF7-DD381388D2F7}" name="Essen gehen" dataDxfId="80"/>
    <tableColumn id="3" xr3:uid="{5E2160A0-189E-4DE7-92EA-7C519F4BB9C2}" name="Freizeit " dataDxfId="79"/>
    <tableColumn id="4" xr3:uid="{1DB9B166-F220-4205-978E-0A155797AF28}" name="Geschenke" dataDxfId="78"/>
    <tableColumn id="5" xr3:uid="{D954D51C-1C07-4468-86BC-CACAEB609416}" name="Lebensmittel" dataDxfId="77"/>
    <tableColumn id="6" xr3:uid="{71CDE6F4-3B91-4073-AE07-1A43F1478D9B}" name="Versicherungen" dataDxfId="76"/>
    <tableColumn id="7" xr3:uid="{A3E62AB7-32C0-4FC2-9963-9CCF91298B2A}" name="Internet" dataDxfId="75"/>
    <tableColumn id="8" xr3:uid="{79048532-6F1A-4764-ADF4-39FD82C134BD}" name="Sonstige Ausgaben" dataDxfId="74"/>
    <tableColumn id="10" xr3:uid="{E554315C-728A-4676-9CBC-066C26A6B2EF}" name="Handy" dataDxfId="73"/>
    <tableColumn id="11" xr3:uid="{461B472E-1667-4B80-8062-B4623DA2D032}" name="Miete" dataDxfId="72"/>
    <tableColumn id="13" xr3:uid="{7708E163-43D6-47E4-B973-59B4BA2D5AB1}" name="Ersparnisse" dataDxfId="71"/>
    <tableColumn id="14" xr3:uid="{F0D956D6-3D3C-4336-AB07-CDD2845FD4E7}" name="Shoppen" dataDxfId="70"/>
    <tableColumn id="21" xr3:uid="{EA68DD46-753B-43A5-B565-2A4519D3C74F}" name="Summe" dataDxfId="69">
      <calculatedColumnFormula>SUM(#REF!)</calculatedColumnFormula>
    </tableColumn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094D2A-EC49-4E7E-94A3-57ECFACDE9A4}" name="Tabelle261417" displayName="Tabelle261417" ref="A20:D34" totalsRowShown="0" headerRowDxfId="68" dataDxfId="66" headerRowBorderDxfId="67" tableBorderDxfId="65" totalsRowBorderDxfId="64">
  <autoFilter ref="A20:D34" xr:uid="{AC094D2A-EC49-4E7E-94A3-57ECFACDE9A4}"/>
  <tableColumns count="4">
    <tableColumn id="1" xr3:uid="{4BD86781-92D1-456D-9C3F-03D7E593CBC4}" name="Monat" dataDxfId="63"/>
    <tableColumn id="9" xr3:uid="{DA68C1A9-76F3-4ACC-ACE7-1555AFC2B61E}" name="Sonstige Einnahmen" dataDxfId="62"/>
    <tableColumn id="12" xr3:uid="{7559FF28-2CE5-4B94-A1D0-03EB8E13CAE7}" name="Einkommen" dataDxfId="61"/>
    <tableColumn id="21" xr3:uid="{8A3AF7CA-E913-4A9E-8A3C-D4A352427C91}" name="Summeme" dataDxfId="60">
      <calculatedColumnFormula>SUM(Tabelle261417[[#This Row],[Sonstige Einnahmen]:[Einkommen]])</calculatedColumnFormula>
    </tableColumn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EF33CE1-CBA2-422C-ADD4-BF8150B3EF9F}" name="Tabelle215" displayName="Tabelle215" ref="A3:C70" totalsRowShown="0" headerRowDxfId="59" dataDxfId="5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C61C95D2-6478-4F71-AE17-81BD16A06BEC}" name="Kategorie" dataDxfId="57"/>
    <tableColumn id="2" xr3:uid="{58E4684F-945C-49E6-985D-680175BFB7CD}" name="Betrag" dataDxfId="56" dataCellStyle="Währung"/>
    <tableColumn id="3" xr3:uid="{7469F349-B797-4F9F-951D-68D7D909D56D}" name="Anmerkung" dataDxfId="5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0C02875-1904-49F5-9C9A-630856B6207F}" name="Tabelle21516" displayName="Tabelle21516" ref="A3:C70" totalsRowShown="0" headerRowDxfId="54" dataDxfId="5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12261CCC-F00C-4F7F-805E-6F4AA628B92A}" name="Kategorie" dataDxfId="52"/>
    <tableColumn id="2" xr3:uid="{A7DCFFDB-A967-4299-8122-A8362C767A3C}" name="Betrag" dataDxfId="51" dataCellStyle="Währung"/>
    <tableColumn id="3" xr3:uid="{5BFEFE4B-DAA9-4568-997A-3BF2EF2970D2}" name="Anmerkung" dataDxfId="50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13DBEB7-1B8A-42C2-8893-AB02DD732224}" name="Tabelle2151618" displayName="Tabelle2151618" ref="A3:C70" totalsRowShown="0" headerRowDxfId="49" dataDxfId="4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2CFD8AF2-2283-43F4-8BCA-0B4AD92EA276}" name="Kategorie" dataDxfId="47"/>
    <tableColumn id="2" xr3:uid="{382E2978-206D-4EE7-A051-A4E20386A18E}" name="Betrag" dataDxfId="46" dataCellStyle="Währung"/>
    <tableColumn id="3" xr3:uid="{614FF71A-0733-4029-97B3-2EAEA974DC4E}" name="Anmerkung" dataDxfId="45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BE4EE01-FEA7-4212-B2D7-784ABA505A92}" name="Tabelle215161819" displayName="Tabelle215161819" ref="A3:C70" totalsRowShown="0" headerRowDxfId="44" dataDxfId="4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5D44AC40-38EE-48E5-806F-CB54DF4561E6}" name="Kategorie" dataDxfId="42"/>
    <tableColumn id="2" xr3:uid="{9E4B3A51-4D5E-40C9-B0AB-9B66FD730E32}" name="Betrag" dataDxfId="41" dataCellStyle="Währung"/>
    <tableColumn id="3" xr3:uid="{6ECD9CF9-3ACA-47CE-A232-79E971ECEBB3}" name="Anmerkung" dataDxfId="4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509DA07-C1AB-4398-8C70-73F22CC1CA0D}" name="Tabelle21516181920" displayName="Tabelle21516181920" ref="A3:C70" totalsRowShown="0" headerRowDxfId="39" dataDxfId="38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7F6F9BD6-EE82-400A-9B9C-E70BB6725C69}" name="Kategorie" dataDxfId="37"/>
    <tableColumn id="2" xr3:uid="{DFB10CEC-7E78-4A42-A43A-0AC8A91471BD}" name="Betrag" dataDxfId="36" dataCellStyle="Währung"/>
    <tableColumn id="3" xr3:uid="{2572169B-C23F-47D6-8448-A6C3C5EA818B}" name="Anmerkung" dataDxfId="3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331A76D-ADC4-4DC1-ABBA-507E390DB6AD}" name="Tabelle2151618192021" displayName="Tabelle2151618192021" ref="A3:C70" totalsRowShown="0" headerRowDxfId="34" dataDxfId="33">
  <autoFilter ref="A3:C70" xr:uid="{871B018B-52AB-4847-B35A-100BC15F6988}"/>
  <sortState xmlns:xlrd2="http://schemas.microsoft.com/office/spreadsheetml/2017/richdata2" ref="A4:C61">
    <sortCondition ref="A3:A61"/>
  </sortState>
  <tableColumns count="3">
    <tableColumn id="1" xr3:uid="{EB646CAE-89DA-4038-A63A-703F64A55E58}" name="Kategorie" dataDxfId="32"/>
    <tableColumn id="2" xr3:uid="{36F06DA0-9FCC-4431-A9DF-9C093E4122FE}" name="Betrag" dataDxfId="31" dataCellStyle="Währung"/>
    <tableColumn id="3" xr3:uid="{4B39072C-2744-48E0-B414-C55F24E7F441}" name="Anmerkung" dataDxfId="3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8FF0-ACDA-4B29-86B5-1D076BFCA9E0}">
  <dimension ref="A1:O7"/>
  <sheetViews>
    <sheetView tabSelected="1" workbookViewId="0">
      <selection activeCell="A9" sqref="A9"/>
    </sheetView>
  </sheetViews>
  <sheetFormatPr baseColWidth="10" defaultRowHeight="14.5" x14ac:dyDescent="0.35"/>
  <cols>
    <col min="1" max="1" width="15.54296875" bestFit="1" customWidth="1"/>
  </cols>
  <sheetData>
    <row r="1" spans="1:15" s="3" customFormat="1" x14ac:dyDescent="0.35">
      <c r="A1" s="4" t="s">
        <v>41</v>
      </c>
      <c r="B1" s="35" t="s">
        <v>44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35">
      <c r="A2" s="5" t="s">
        <v>6</v>
      </c>
      <c r="B2" s="33" t="s">
        <v>49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3" customFormat="1" x14ac:dyDescent="0.35">
      <c r="A3" s="4" t="s">
        <v>42</v>
      </c>
      <c r="B3" s="35" t="s">
        <v>50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x14ac:dyDescent="0.35">
      <c r="A4" s="34" t="s">
        <v>43</v>
      </c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x14ac:dyDescent="0.35">
      <c r="A5" s="34"/>
      <c r="B5" s="33" t="s">
        <v>45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x14ac:dyDescent="0.35">
      <c r="A6" s="34"/>
      <c r="B6" s="33" t="s">
        <v>46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x14ac:dyDescent="0.35">
      <c r="A7" s="34"/>
      <c r="B7" s="33" t="s">
        <v>47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</sheetData>
  <sheetProtection algorithmName="SHA-512" hashValue="FdLLOdtGGTKn6wAzErNHYc/G//90J8aiAhJ2ScLNspWkmCMjc0rwIWwjZ+TMHx0GPEfkmm9aAc5rEJVFNXaFBA==" saltValue="1yOjeEutieHiYLA8vX8+xw==" spinCount="100000" sheet="1" objects="1" scenarios="1"/>
  <mergeCells count="8">
    <mergeCell ref="B7:O7"/>
    <mergeCell ref="A4:A7"/>
    <mergeCell ref="B3:O3"/>
    <mergeCell ref="B1:O1"/>
    <mergeCell ref="B2:O2"/>
    <mergeCell ref="B4:O4"/>
    <mergeCell ref="B5:O5"/>
    <mergeCell ref="B6:O6"/>
  </mergeCells>
  <hyperlinks>
    <hyperlink ref="A1" location="Kategorien!A1" display="Kategorien: " xr:uid="{DEEF74F7-393F-46AF-9C1A-114E711A3FC9}"/>
    <hyperlink ref="A2" location="Plan!A1" display="Plan: " xr:uid="{F440650B-FE7F-4234-89C1-027ABB1C25B7}"/>
    <hyperlink ref="A3" location="Übersicht!A1" display="Übersicht:" xr:uid="{C4986340-BBA6-4EB7-85C5-01E4F25627A6}"/>
    <hyperlink ref="A4:A7" location="Jan!A1" display="Monthly Tabs: " xr:uid="{0FBD1010-B89C-49A9-9E41-9F1C7AD87846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E861-097C-4334-B01E-2030413C2253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12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SUMIF(Tabelle2151618192021[Kategorie],"Essen gehen",Tabelle2151618192021[Betrag])</f>
        <v>0</v>
      </c>
      <c r="F4" s="16"/>
      <c r="G4" s="16"/>
    </row>
    <row r="5" spans="1:7" x14ac:dyDescent="0.35">
      <c r="D5" s="7" t="s">
        <v>17</v>
      </c>
      <c r="E5" s="32">
        <f>SUMIF(Tabelle2151618192021[Kategorie],"Freizeit",Tabelle2151618192021[Betrag])</f>
        <v>0</v>
      </c>
      <c r="F5" s="16"/>
    </row>
    <row r="6" spans="1:7" x14ac:dyDescent="0.35">
      <c r="D6" s="7" t="s">
        <v>18</v>
      </c>
      <c r="E6" s="32">
        <f>SUMIF(Tabelle2151618192021[Kategorie],"Geschenke",Tabelle2151618192021[Betrag])</f>
        <v>0</v>
      </c>
    </row>
    <row r="7" spans="1:7" x14ac:dyDescent="0.35">
      <c r="D7" s="7" t="s">
        <v>19</v>
      </c>
      <c r="E7" s="32">
        <f>SUMIF(Tabelle2151618192021[Kategorie],"Lebensmittel",Tabelle2151618192021[Betrag])</f>
        <v>0</v>
      </c>
    </row>
    <row r="8" spans="1:7" x14ac:dyDescent="0.35">
      <c r="D8" s="7" t="s">
        <v>20</v>
      </c>
      <c r="E8" s="32">
        <f>SUMIF(Tabelle2151618192021[Kategorie],"Versicherungen",Tabelle2151618192021[Betrag])</f>
        <v>0</v>
      </c>
      <c r="F8" s="16"/>
    </row>
    <row r="9" spans="1:7" x14ac:dyDescent="0.35">
      <c r="D9" s="7" t="s">
        <v>5</v>
      </c>
      <c r="E9" s="32">
        <f>SUMIF(Tabelle2151618192021[Kategorie],"Internet",Tabelle2151618192021[Betrag])</f>
        <v>0</v>
      </c>
      <c r="F9" s="16"/>
    </row>
    <row r="10" spans="1:7" x14ac:dyDescent="0.35">
      <c r="D10" s="7" t="s">
        <v>21</v>
      </c>
      <c r="E10" s="32">
        <f>SUMIF(Tabelle2151618192021[Kategorie],"Sonstige Ausgaben",Tabelle2151618192021[Betrag])</f>
        <v>0</v>
      </c>
      <c r="F10" s="16"/>
    </row>
    <row r="11" spans="1:7" x14ac:dyDescent="0.35">
      <c r="D11" s="7" t="s">
        <v>22</v>
      </c>
      <c r="E11" s="32">
        <f>SUMIF(Tabelle2151618192021[Kategorie],"Sonstige Einnahmen",Tabelle2151618192021[Betrag])</f>
        <v>0</v>
      </c>
    </row>
    <row r="12" spans="1:7" x14ac:dyDescent="0.35">
      <c r="D12" s="7" t="s">
        <v>23</v>
      </c>
      <c r="E12" s="32">
        <f>SUMIF(Tabelle2151618192021[Kategorie],"Handy",Tabelle2151618192021[Betrag])</f>
        <v>0</v>
      </c>
      <c r="F12" s="16"/>
    </row>
    <row r="13" spans="1:7" x14ac:dyDescent="0.35">
      <c r="D13" s="7" t="s">
        <v>24</v>
      </c>
      <c r="E13" s="32">
        <f>SUMIF(Tabelle2151618192021[Kategorie],"Miete",Tabelle2151618192021[Betrag])</f>
        <v>0</v>
      </c>
    </row>
    <row r="14" spans="1:7" x14ac:dyDescent="0.35">
      <c r="D14" s="7" t="s">
        <v>25</v>
      </c>
      <c r="E14" s="32">
        <f>SUMIF(Tabelle2151618192021[Kategorie],"Einkommen",Tabelle2151618192021[Betrag])</f>
        <v>0</v>
      </c>
      <c r="F14" s="16"/>
    </row>
    <row r="15" spans="1:7" x14ac:dyDescent="0.35">
      <c r="D15" s="7" t="s">
        <v>26</v>
      </c>
      <c r="E15" s="32">
        <f>SUMIF(Tabelle2151618192021[Kategorie],"Ersparnisse",Tabelle2151618192021[Betrag])</f>
        <v>0</v>
      </c>
      <c r="F15" s="16"/>
    </row>
    <row r="16" spans="1:7" x14ac:dyDescent="0.35">
      <c r="D16" s="7" t="s">
        <v>27</v>
      </c>
      <c r="E16" s="32">
        <f>SUMIF(Tabelle2151618192021[Kategorie],"Shoppen",Tabelle2151618192021[Betrag])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74DkPkk2+/86pPgELOxx1PYBzQRIJ6hTcVKiG4al9xzyPeTEjmgltVJQ5cjddbCKZGHquLkj8UZ4CLqD+UiuUA==" saltValue="mwq3Sm0Qktzd+FshBAnzQg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02202E-33DE-42BB-8135-1C43FF693963}">
          <x14:formula1>
            <xm:f>Kategorien!$A$2:$A$49</xm:f>
          </x14:formula1>
          <xm:sqref>A4:A61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2A92-262B-494C-8150-D4A097C3D1F2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13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SUMIF(Tabelle215161819202122[Kategorie],"Essen gehen",Tabelle215161819202122[Betrag])</f>
        <v>0</v>
      </c>
      <c r="F4" s="16"/>
      <c r="G4" s="16"/>
    </row>
    <row r="5" spans="1:7" x14ac:dyDescent="0.35">
      <c r="D5" s="7" t="s">
        <v>17</v>
      </c>
      <c r="E5" s="32">
        <f>SUMIF(Tabelle215161819202122[Kategorie],"Freizeit",Tabelle215161819202122[Betrag])</f>
        <v>0</v>
      </c>
      <c r="F5" s="16"/>
    </row>
    <row r="6" spans="1:7" x14ac:dyDescent="0.35">
      <c r="D6" s="7" t="s">
        <v>18</v>
      </c>
      <c r="E6" s="32">
        <f>SUMIF(Tabelle215161819202122[Kategorie],"Geschenke",Tabelle215161819202122[Betrag])</f>
        <v>0</v>
      </c>
    </row>
    <row r="7" spans="1:7" x14ac:dyDescent="0.35">
      <c r="D7" s="7" t="s">
        <v>19</v>
      </c>
      <c r="E7" s="32">
        <f>SUMIF(Tabelle215161819202122[Kategorie],"Lebensmittel",Tabelle215161819202122[Betrag])</f>
        <v>0</v>
      </c>
    </row>
    <row r="8" spans="1:7" x14ac:dyDescent="0.35">
      <c r="D8" s="7" t="s">
        <v>20</v>
      </c>
      <c r="E8" s="32">
        <f>SUMIF(Tabelle215161819202122[Kategorie],"Versicherungen",Tabelle215161819202122[Betrag])</f>
        <v>0</v>
      </c>
      <c r="F8" s="16"/>
    </row>
    <row r="9" spans="1:7" x14ac:dyDescent="0.35">
      <c r="D9" s="7" t="s">
        <v>5</v>
      </c>
      <c r="E9" s="32">
        <f>SUMIF(Tabelle215161819202122[Kategorie],"Internet",Tabelle215161819202122[Betrag])</f>
        <v>0</v>
      </c>
      <c r="F9" s="16"/>
    </row>
    <row r="10" spans="1:7" x14ac:dyDescent="0.35">
      <c r="D10" s="7" t="s">
        <v>21</v>
      </c>
      <c r="E10" s="32">
        <f>SUMIF(Tabelle215161819202122[Kategorie],"Sonstige Ausgaben",Tabelle215161819202122[Betrag])</f>
        <v>0</v>
      </c>
      <c r="F10" s="16"/>
    </row>
    <row r="11" spans="1:7" x14ac:dyDescent="0.35">
      <c r="D11" s="7" t="s">
        <v>22</v>
      </c>
      <c r="E11" s="32">
        <f>SUMIF(Tabelle215161819202122[Kategorie],"Sonstige Einnahmen",Tabelle215161819202122[Betrag])</f>
        <v>0</v>
      </c>
    </row>
    <row r="12" spans="1:7" x14ac:dyDescent="0.35">
      <c r="D12" s="7" t="s">
        <v>23</v>
      </c>
      <c r="E12" s="32">
        <f>SUMIF(Tabelle215161819202122[Kategorie],"Handy",Tabelle215161819202122[Betrag])</f>
        <v>0</v>
      </c>
      <c r="F12" s="16"/>
    </row>
    <row r="13" spans="1:7" x14ac:dyDescent="0.35">
      <c r="D13" s="7" t="s">
        <v>24</v>
      </c>
      <c r="E13" s="32">
        <f>SUMIF(Tabelle215161819202122[Kategorie],"Miete",Tabelle215161819202122[Betrag])</f>
        <v>0</v>
      </c>
    </row>
    <row r="14" spans="1:7" x14ac:dyDescent="0.35">
      <c r="D14" s="7" t="s">
        <v>25</v>
      </c>
      <c r="E14" s="32">
        <f>SUMIF(Tabelle215161819202122[Kategorie],"Einkommen",Tabelle215161819202122[Betrag])</f>
        <v>0</v>
      </c>
      <c r="F14" s="16"/>
    </row>
    <row r="15" spans="1:7" x14ac:dyDescent="0.35">
      <c r="D15" s="7" t="s">
        <v>26</v>
      </c>
      <c r="E15" s="32">
        <f>SUMIF(Tabelle215161819202122[Kategorie],"Ersparnisse",Tabelle215161819202122[Betrag])</f>
        <v>0</v>
      </c>
      <c r="F15" s="16"/>
    </row>
    <row r="16" spans="1:7" x14ac:dyDescent="0.35">
      <c r="D16" s="7" t="s">
        <v>27</v>
      </c>
      <c r="E16" s="32">
        <f>SUMIF(Tabelle215161819202122[Kategorie],"Shoppen",Tabelle215161819202122[Betrag])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XuLeuN+RQJYe9roe/tUWgMCj+snH6R6tGPcsVSjA1ogqwpbEHfX2WsEm5qIi7sXZ3y1/nWrxZdWB9n8wzKvLqg==" saltValue="7pyYmKOf+V8jFyVJna0sp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425DAD-CA39-413F-AB47-4B885695DB98}">
          <x14:formula1>
            <xm:f>Kategorien!$A$2:$A$49</xm:f>
          </x14:formula1>
          <xm:sqref>A4:A61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EFFD-7BAD-43C9-9C33-D3DA9FB5F370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1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SUMIF(Tabelle21516181920212223[Kategorie],"Essen gehen",Tabelle21516181920212223[Betrag])</f>
        <v>0</v>
      </c>
      <c r="F4" s="16"/>
      <c r="G4" s="16"/>
    </row>
    <row r="5" spans="1:7" x14ac:dyDescent="0.35">
      <c r="D5" s="7" t="s">
        <v>17</v>
      </c>
      <c r="E5" s="32">
        <f>SUMIF(Tabelle21516181920212223[Kategorie],"Freizeit",Tabelle21516181920212223[Betrag])</f>
        <v>0</v>
      </c>
      <c r="F5" s="16"/>
    </row>
    <row r="6" spans="1:7" x14ac:dyDescent="0.35">
      <c r="D6" s="7" t="s">
        <v>18</v>
      </c>
      <c r="E6" s="32">
        <f>SUMIF(Tabelle21516181920212223[Kategorie],"Geschenke",Tabelle21516181920212223[Betrag])</f>
        <v>0</v>
      </c>
    </row>
    <row r="7" spans="1:7" x14ac:dyDescent="0.35">
      <c r="D7" s="7" t="s">
        <v>19</v>
      </c>
      <c r="E7" s="32">
        <f>SUMIF(Tabelle21516181920212223[Kategorie],"Lebensmittel",Tabelle21516181920212223[Betrag])</f>
        <v>0</v>
      </c>
    </row>
    <row r="8" spans="1:7" x14ac:dyDescent="0.35">
      <c r="D8" s="7" t="s">
        <v>20</v>
      </c>
      <c r="E8" s="32">
        <f>SUMIF(Tabelle21516181920212223[Kategorie],"Versicherungen",Tabelle21516181920212223[Betrag])</f>
        <v>0</v>
      </c>
      <c r="F8" s="16"/>
    </row>
    <row r="9" spans="1:7" x14ac:dyDescent="0.35">
      <c r="D9" s="7" t="s">
        <v>5</v>
      </c>
      <c r="E9" s="32">
        <f>SUMIF(Tabelle21516181920212223[Kategorie],"Internet",Tabelle21516181920212223[Betrag])</f>
        <v>0</v>
      </c>
      <c r="F9" s="16"/>
    </row>
    <row r="10" spans="1:7" x14ac:dyDescent="0.35">
      <c r="D10" s="7" t="s">
        <v>21</v>
      </c>
      <c r="E10" s="32">
        <f>SUMIF(Tabelle21516181920212223[Kategorie],"Sonstige Ausgaben",Tabelle21516181920212223[Betrag])</f>
        <v>0</v>
      </c>
      <c r="F10" s="16"/>
    </row>
    <row r="11" spans="1:7" x14ac:dyDescent="0.35">
      <c r="D11" s="7" t="s">
        <v>22</v>
      </c>
      <c r="E11" s="32">
        <f>SUMIF(Tabelle21516181920212223[Kategorie],"Sonstige Einnahmen",Tabelle21516181920212223[Betrag])</f>
        <v>0</v>
      </c>
    </row>
    <row r="12" spans="1:7" x14ac:dyDescent="0.35">
      <c r="D12" s="7" t="s">
        <v>23</v>
      </c>
      <c r="E12" s="32">
        <f>SUMIF(Tabelle21516181920212223[Kategorie],"Handy",Tabelle21516181920212223[Betrag])</f>
        <v>0</v>
      </c>
      <c r="F12" s="16"/>
    </row>
    <row r="13" spans="1:7" x14ac:dyDescent="0.35">
      <c r="D13" s="7" t="s">
        <v>24</v>
      </c>
      <c r="E13" s="32">
        <f>SUMIF(Tabelle21516181920212223[Kategorie],"Miete",Tabelle21516181920212223[Betrag])</f>
        <v>0</v>
      </c>
    </row>
    <row r="14" spans="1:7" x14ac:dyDescent="0.35">
      <c r="D14" s="7" t="s">
        <v>25</v>
      </c>
      <c r="E14" s="32">
        <f>SUMIF(Tabelle21516181920212223[Kategorie],"Einkommen",Tabelle21516181920212223[Betrag])</f>
        <v>0</v>
      </c>
      <c r="F14" s="16"/>
    </row>
    <row r="15" spans="1:7" x14ac:dyDescent="0.35">
      <c r="D15" s="7" t="s">
        <v>26</v>
      </c>
      <c r="E15" s="32">
        <f>SUMIF(Tabelle21516181920212223[Kategorie],"Ersparnisse",Tabelle21516181920212223[Betrag])</f>
        <v>0</v>
      </c>
      <c r="F15" s="16"/>
    </row>
    <row r="16" spans="1:7" x14ac:dyDescent="0.35">
      <c r="D16" s="7" t="s">
        <v>27</v>
      </c>
      <c r="E16" s="32">
        <f>SUMIF(Tabelle21516181920212223[Kategorie],"Shoppen",Tabelle21516181920212223[Betrag])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oY5tjvhQaPXpaIy4aCIle7odQCJfGOnPtn4JIJd5+enkwOxfNqvm6JfV/Nl3sIjf2kyuTZCgoJiO1aqtrMFggg==" saltValue="pOFHrgsiHpb3C/wxtv9w5Q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351784-DBE0-4B24-A2EF-8B22E5C53C4F}">
          <x14:formula1>
            <xm:f>Kategorien!$A$2:$A$49</xm:f>
          </x14:formula1>
          <xm:sqref>A4:A61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F23B-E8AE-438D-97AF-5F09BCA65DD4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2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SUMIF(Tabelle2151618192021222324[Kategorie],"Essen gehen",Tabelle2151618192021222324[Betrag])</f>
        <v>0</v>
      </c>
      <c r="F4" s="16"/>
      <c r="G4" s="16"/>
    </row>
    <row r="5" spans="1:7" x14ac:dyDescent="0.35">
      <c r="D5" s="7" t="s">
        <v>17</v>
      </c>
      <c r="E5" s="32">
        <f>SUMIF(Tabelle2151618192021222324[Kategorie],"Freizeit",Tabelle2151618192021222324[Betrag])</f>
        <v>0</v>
      </c>
      <c r="F5" s="16"/>
    </row>
    <row r="6" spans="1:7" x14ac:dyDescent="0.35">
      <c r="D6" s="7" t="s">
        <v>18</v>
      </c>
      <c r="E6" s="32">
        <f>SUMIF(Tabelle2151618192021222324[Kategorie],"Geschenke",Tabelle2151618192021222324[Betrag])</f>
        <v>0</v>
      </c>
    </row>
    <row r="7" spans="1:7" x14ac:dyDescent="0.35">
      <c r="D7" s="7" t="s">
        <v>19</v>
      </c>
      <c r="E7" s="32">
        <f>SUMIF(Tabelle2151618192021222324[Kategorie],"Lebensmittel",Tabelle2151618192021222324[Betrag])</f>
        <v>0</v>
      </c>
    </row>
    <row r="8" spans="1:7" x14ac:dyDescent="0.35">
      <c r="D8" s="7" t="s">
        <v>20</v>
      </c>
      <c r="E8" s="32">
        <f>SUMIF(Tabelle2151618192021222324[Kategorie],"Versicherungen",Tabelle2151618192021222324[Betrag])</f>
        <v>0</v>
      </c>
      <c r="F8" s="16"/>
    </row>
    <row r="9" spans="1:7" x14ac:dyDescent="0.35">
      <c r="D9" s="7" t="s">
        <v>5</v>
      </c>
      <c r="E9" s="32">
        <f>SUMIF(Tabelle2151618192021222324[Kategorie],"Internet",Tabelle2151618192021222324[Betrag])</f>
        <v>0</v>
      </c>
      <c r="F9" s="16"/>
    </row>
    <row r="10" spans="1:7" x14ac:dyDescent="0.35">
      <c r="D10" s="7" t="s">
        <v>21</v>
      </c>
      <c r="E10" s="32">
        <f>SUMIF(Tabelle2151618192021222324[Kategorie],"Sonstige Ausgaben",Tabelle2151618192021222324[Betrag])</f>
        <v>0</v>
      </c>
      <c r="F10" s="16"/>
    </row>
    <row r="11" spans="1:7" x14ac:dyDescent="0.35">
      <c r="D11" s="7" t="s">
        <v>22</v>
      </c>
      <c r="E11" s="32">
        <f>SUMIF(Tabelle2151618192021222324[Kategorie],"Sonstige Einnahmen",Tabelle2151618192021222324[Betrag])</f>
        <v>0</v>
      </c>
    </row>
    <row r="12" spans="1:7" x14ac:dyDescent="0.35">
      <c r="D12" s="7" t="s">
        <v>23</v>
      </c>
      <c r="E12" s="32">
        <f>SUMIF(Tabelle2151618192021222324[Kategorie],"Handy",Tabelle2151618192021222324[Betrag])</f>
        <v>0</v>
      </c>
      <c r="F12" s="16"/>
    </row>
    <row r="13" spans="1:7" x14ac:dyDescent="0.35">
      <c r="D13" s="7" t="s">
        <v>24</v>
      </c>
      <c r="E13" s="32">
        <f>SUMIF(Tabelle2151618192021222324[Kategorie],"Miete",Tabelle2151618192021222324[Betrag])</f>
        <v>0</v>
      </c>
    </row>
    <row r="14" spans="1:7" x14ac:dyDescent="0.35">
      <c r="D14" s="7" t="s">
        <v>25</v>
      </c>
      <c r="E14" s="32">
        <f>SUMIF(Tabelle2151618192021222324[Kategorie],"Einkommen",Tabelle2151618192021222324[Betrag])</f>
        <v>0</v>
      </c>
      <c r="F14" s="16"/>
    </row>
    <row r="15" spans="1:7" x14ac:dyDescent="0.35">
      <c r="D15" s="7" t="s">
        <v>26</v>
      </c>
      <c r="E15" s="32">
        <f>SUMIF(Tabelle2151618192021222324[Kategorie],"Ersparnisse",Tabelle2151618192021222324[Betrag])</f>
        <v>0</v>
      </c>
      <c r="F15" s="16"/>
    </row>
    <row r="16" spans="1:7" x14ac:dyDescent="0.35">
      <c r="D16" s="7" t="s">
        <v>27</v>
      </c>
      <c r="E16" s="32">
        <f>SUMIF(Tabelle2151618192021222324[Kategorie],"Shoppen",Tabelle2151618192021222324[Betrag])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fXaEsYoGuX9f1EuvcvGGZV8Q5nTfHU5PUEqmxtL68v8bThQ4i8gMdH7E7PwEFsH40ycuwvbaX+cRVZGiM/vvoQ==" saltValue="x8wRECh2EdlwHRmHwaS9z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E66E92-5A95-4C6F-8530-005208289D25}">
          <x14:formula1>
            <xm:f>Kategorien!$A$2:$A$49</xm:f>
          </x14:formula1>
          <xm:sqref>A4:A61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3645-B1E7-4BAA-83E4-9AF26F8B2A6D}">
  <sheetPr>
    <tabColor rgb="FFFFC000"/>
  </sheetPr>
  <dimension ref="A1:J53"/>
  <sheetViews>
    <sheetView zoomScale="78" zoomScaleNormal="78" workbookViewId="0">
      <selection activeCell="G19" sqref="G19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14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SUMIF(Tabelle215161819202122232425[Kategorie],"Essen gehen",Tabelle215161819202122232425[Betrag])</f>
        <v>0</v>
      </c>
      <c r="F4" s="16"/>
      <c r="G4" s="16"/>
    </row>
    <row r="5" spans="1:7" x14ac:dyDescent="0.35">
      <c r="D5" s="7" t="s">
        <v>17</v>
      </c>
      <c r="E5" s="32">
        <f>SUMIF(Tabelle215161819202122232425[Kategorie],"Freizeit",Tabelle215161819202122232425[Betrag])</f>
        <v>0</v>
      </c>
      <c r="F5" s="16"/>
    </row>
    <row r="6" spans="1:7" x14ac:dyDescent="0.35">
      <c r="D6" s="7" t="s">
        <v>18</v>
      </c>
      <c r="E6" s="32">
        <f>SUMIF(Tabelle215161819202122232425[Kategorie],"Geschenke",Tabelle215161819202122232425[Betrag])</f>
        <v>0</v>
      </c>
    </row>
    <row r="7" spans="1:7" x14ac:dyDescent="0.35">
      <c r="D7" s="7" t="s">
        <v>19</v>
      </c>
      <c r="E7" s="32">
        <f>SUMIF(Tabelle215161819202122232425[Kategorie],"Lebensmittel",Tabelle215161819202122232425[Betrag])</f>
        <v>0</v>
      </c>
    </row>
    <row r="8" spans="1:7" x14ac:dyDescent="0.35">
      <c r="D8" s="7" t="s">
        <v>20</v>
      </c>
      <c r="E8" s="32">
        <f>SUMIF(Tabelle215161819202122232425[Kategorie],"Versicherungen",Tabelle215161819202122232425[Betrag])</f>
        <v>0</v>
      </c>
      <c r="F8" s="16"/>
    </row>
    <row r="9" spans="1:7" x14ac:dyDescent="0.35">
      <c r="D9" s="7" t="s">
        <v>5</v>
      </c>
      <c r="E9" s="32">
        <f>SUMIF(Tabelle215161819202122232425[Kategorie],"Internet",Tabelle215161819202122232425[Betrag])</f>
        <v>0</v>
      </c>
      <c r="F9" s="16"/>
    </row>
    <row r="10" spans="1:7" x14ac:dyDescent="0.35">
      <c r="D10" s="7" t="s">
        <v>21</v>
      </c>
      <c r="E10" s="32">
        <f>SUMIF(Tabelle215161819202122232425[Kategorie],"Sonstige Ausgaben",Tabelle215161819202122232425[Betrag])</f>
        <v>0</v>
      </c>
      <c r="F10" s="16"/>
    </row>
    <row r="11" spans="1:7" x14ac:dyDescent="0.35">
      <c r="D11" s="7" t="s">
        <v>22</v>
      </c>
      <c r="E11" s="32">
        <f>SUMIF(Tabelle215161819202122232425[Kategorie],"Sonstige Einnahmen",Tabelle215161819202122232425[Betrag])</f>
        <v>0</v>
      </c>
    </row>
    <row r="12" spans="1:7" x14ac:dyDescent="0.35">
      <c r="D12" s="7" t="s">
        <v>23</v>
      </c>
      <c r="E12" s="32">
        <f>SUMIF(Tabelle215161819202122232425[Kategorie],"Handy",Tabelle215161819202122232425[Betrag])</f>
        <v>0</v>
      </c>
      <c r="F12" s="16"/>
    </row>
    <row r="13" spans="1:7" x14ac:dyDescent="0.35">
      <c r="D13" s="7" t="s">
        <v>24</v>
      </c>
      <c r="E13" s="32">
        <f>SUMIF(Tabelle215161819202122232425[Kategorie],"Miete",Tabelle215161819202122232425[Betrag])</f>
        <v>0</v>
      </c>
    </row>
    <row r="14" spans="1:7" x14ac:dyDescent="0.35">
      <c r="D14" s="7" t="s">
        <v>25</v>
      </c>
      <c r="E14" s="32">
        <f>SUMIF(Tabelle215161819202122232425[Kategorie],"Einkommen",Tabelle215161819202122232425[Betrag])</f>
        <v>0</v>
      </c>
      <c r="F14" s="16"/>
    </row>
    <row r="15" spans="1:7" x14ac:dyDescent="0.35">
      <c r="D15" s="7" t="s">
        <v>26</v>
      </c>
      <c r="E15" s="32">
        <f>SUMIF(Tabelle215161819202122232425[Kategorie],"Ersparnisse",Tabelle215161819202122232425[Betrag])</f>
        <v>0</v>
      </c>
      <c r="F15" s="16"/>
    </row>
    <row r="16" spans="1:7" x14ac:dyDescent="0.35">
      <c r="D16" s="7" t="s">
        <v>27</v>
      </c>
      <c r="E16" s="32">
        <f>SUMIF(Tabelle215161819202122232425[Kategorie],"Shoppen",Tabelle215161819202122232425[Betrag])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tx3wU2c1bH1Wyfmk7lu37SoYOPjSYJH7MQWzE4CW7pi6uQkxjFSMzOZgi4Uthn1rmtEAJPA9rTMEF8TYydIL2Q==" saltValue="0pWNb0E/5DfKzWHdnqGeG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661412-DB16-40D2-8E6E-B974071793A0}">
          <x14:formula1>
            <xm:f>Kategorien!$A$2:$A$49</xm:f>
          </x14:formula1>
          <xm:sqref>A4:A61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920D-DB94-46F7-9854-4F5E6824886D}">
  <sheetPr>
    <tabColor rgb="FFFFC000"/>
  </sheetPr>
  <dimension ref="A1:J53"/>
  <sheetViews>
    <sheetView zoomScale="78" zoomScaleNormal="78" workbookViewId="0">
      <selection activeCell="F4" sqref="F4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3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SUMIF(Tabelle21516181920212223242526[Kategorie],"Essen gehen",Tabelle21516181920212223242526[Betrag])</f>
        <v>0</v>
      </c>
      <c r="F4" s="16"/>
      <c r="G4" s="16"/>
    </row>
    <row r="5" spans="1:7" x14ac:dyDescent="0.35">
      <c r="D5" s="7" t="s">
        <v>17</v>
      </c>
      <c r="E5" s="32">
        <f>SUMIF(Tabelle21516181920212223242526[Kategorie],"Freizeit",Tabelle21516181920212223242526[Betrag])</f>
        <v>0</v>
      </c>
      <c r="F5" s="16"/>
    </row>
    <row r="6" spans="1:7" x14ac:dyDescent="0.35">
      <c r="D6" s="7" t="s">
        <v>18</v>
      </c>
      <c r="E6" s="32">
        <f>SUMIF(Tabelle21516181920212223242526[Kategorie],"Geschenke",Tabelle21516181920212223242526[Betrag])</f>
        <v>0</v>
      </c>
    </row>
    <row r="7" spans="1:7" x14ac:dyDescent="0.35">
      <c r="D7" s="7" t="s">
        <v>19</v>
      </c>
      <c r="E7" s="32">
        <f>SUMIF(Tabelle21516181920212223242526[Kategorie],"Lebensmittel",Tabelle21516181920212223242526[Betrag])</f>
        <v>0</v>
      </c>
    </row>
    <row r="8" spans="1:7" x14ac:dyDescent="0.35">
      <c r="D8" s="7" t="s">
        <v>20</v>
      </c>
      <c r="E8" s="32">
        <f>SUMIF(Tabelle21516181920212223242526[Kategorie],"Versicherungen",Tabelle21516181920212223242526[Betrag])</f>
        <v>0</v>
      </c>
      <c r="F8" s="16"/>
    </row>
    <row r="9" spans="1:7" x14ac:dyDescent="0.35">
      <c r="D9" s="7" t="s">
        <v>5</v>
      </c>
      <c r="E9" s="32">
        <f>SUMIF(Tabelle21516181920212223242526[Kategorie],"Internet",Tabelle21516181920212223242526[Betrag])</f>
        <v>0</v>
      </c>
      <c r="F9" s="16"/>
    </row>
    <row r="10" spans="1:7" x14ac:dyDescent="0.35">
      <c r="D10" s="7" t="s">
        <v>21</v>
      </c>
      <c r="E10" s="32">
        <f>SUMIF(Tabelle21516181920212223242526[Kategorie],"Sonstige Ausgaben",Tabelle21516181920212223242526[Betrag])</f>
        <v>0</v>
      </c>
      <c r="F10" s="16"/>
    </row>
    <row r="11" spans="1:7" x14ac:dyDescent="0.35">
      <c r="D11" s="7" t="s">
        <v>22</v>
      </c>
      <c r="E11" s="32">
        <f>SUMIF(Tabelle21516181920212223242526[Kategorie],"Sonstige Einnahmen",Tabelle21516181920212223242526[Betrag])</f>
        <v>0</v>
      </c>
    </row>
    <row r="12" spans="1:7" x14ac:dyDescent="0.35">
      <c r="D12" s="7" t="s">
        <v>23</v>
      </c>
      <c r="E12" s="32">
        <f>SUMIF(Tabelle21516181920212223242526[Kategorie],"Handy",Tabelle21516181920212223242526[Betrag])</f>
        <v>0</v>
      </c>
      <c r="F12" s="16"/>
    </row>
    <row r="13" spans="1:7" x14ac:dyDescent="0.35">
      <c r="D13" s="7" t="s">
        <v>24</v>
      </c>
      <c r="E13" s="32">
        <f>SUMIF(Tabelle21516181920212223242526[Kategorie],"Miete",Tabelle21516181920212223242526[Betrag])</f>
        <v>0</v>
      </c>
    </row>
    <row r="14" spans="1:7" x14ac:dyDescent="0.35">
      <c r="D14" s="7" t="s">
        <v>25</v>
      </c>
      <c r="E14" s="32">
        <f>SUMIF(Tabelle21516181920212223242526[Kategorie],"Einkommen",Tabelle21516181920212223242526[Betrag])</f>
        <v>0</v>
      </c>
      <c r="F14" s="16"/>
    </row>
    <row r="15" spans="1:7" x14ac:dyDescent="0.35">
      <c r="D15" s="7" t="s">
        <v>26</v>
      </c>
      <c r="E15" s="32">
        <f>SUMIF(Tabelle21516181920212223242526[Kategorie],"Ersparnisse",Tabelle21516181920212223242526[Betrag])</f>
        <v>0</v>
      </c>
      <c r="F15" s="16"/>
    </row>
    <row r="16" spans="1:7" x14ac:dyDescent="0.35">
      <c r="D16" s="7" t="s">
        <v>27</v>
      </c>
      <c r="E16" s="32">
        <f>SUMIF(Tabelle21516181920212223242526[Kategorie],"Shoppen",Tabelle21516181920212223242526[Betrag])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jxMyldOXki0ny6n97JFePsGb44GWHKpnyk+YQaKvs7dd7m3AjC2AY1gHr3DnDA7UyDKw6XQHPFSISwUSHOQzFQ==" saltValue="Q6X6pX9iJ3AIhBJCt88qp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13624F-6932-490F-8920-44558674DB95}">
          <x14:formula1>
            <xm:f>Kategorien!$A$2:$A$49</xm:f>
          </x14:formula1>
          <xm:sqref>A4:A61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ACA-F885-4CD6-8D97-D1EC6FD59625}">
  <sheetPr>
    <tabColor rgb="FFFFC000"/>
  </sheetPr>
  <dimension ref="A1:J53"/>
  <sheetViews>
    <sheetView zoomScale="78" zoomScaleNormal="78" workbookViewId="0">
      <selection activeCell="F30" sqref="F30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7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SUMIF(Tabelle2151618192021222324252627[Kategorie],"Essen gehen",Tabelle2151618192021222324252627[Betrag])</f>
        <v>0</v>
      </c>
      <c r="F4" s="16"/>
      <c r="G4" s="16"/>
    </row>
    <row r="5" spans="1:7" x14ac:dyDescent="0.35">
      <c r="D5" s="7" t="s">
        <v>17</v>
      </c>
      <c r="E5" s="32">
        <f>SUMIF(Tabelle2151618192021222324252627[Kategorie],"Freizeit",Tabelle2151618192021222324252627[Betrag])</f>
        <v>0</v>
      </c>
      <c r="F5" s="16"/>
    </row>
    <row r="6" spans="1:7" x14ac:dyDescent="0.35">
      <c r="D6" s="7" t="s">
        <v>18</v>
      </c>
      <c r="E6" s="32">
        <f>SUMIF(Tabelle2151618192021222324252627[Kategorie],"Geschenke",Tabelle2151618192021222324252627[Betrag])</f>
        <v>0</v>
      </c>
    </row>
    <row r="7" spans="1:7" x14ac:dyDescent="0.35">
      <c r="D7" s="7" t="s">
        <v>19</v>
      </c>
      <c r="E7" s="32">
        <f>SUMIF(Tabelle2151618192021222324252627[Kategorie],"Lebensmittel",Tabelle2151618192021222324252627[Betrag])</f>
        <v>0</v>
      </c>
    </row>
    <row r="8" spans="1:7" x14ac:dyDescent="0.35">
      <c r="D8" s="7" t="s">
        <v>20</v>
      </c>
      <c r="E8" s="32">
        <f>SUMIF(Tabelle2151618192021222324252627[Kategorie],"Versicherungen",Tabelle2151618192021222324252627[Betrag])</f>
        <v>0</v>
      </c>
      <c r="F8" s="16"/>
    </row>
    <row r="9" spans="1:7" x14ac:dyDescent="0.35">
      <c r="D9" s="7" t="s">
        <v>5</v>
      </c>
      <c r="E9" s="32">
        <f>SUMIF(Tabelle2151618192021222324252627[Kategorie],"Internet",Tabelle2151618192021222324252627[Betrag])</f>
        <v>0</v>
      </c>
      <c r="F9" s="16"/>
    </row>
    <row r="10" spans="1:7" x14ac:dyDescent="0.35">
      <c r="D10" s="7" t="s">
        <v>21</v>
      </c>
      <c r="E10" s="32">
        <f>SUMIF(Tabelle2151618192021222324252627[Kategorie],"Sonstige Ausgaben",Tabelle2151618192021222324252627[Betrag])</f>
        <v>0</v>
      </c>
      <c r="F10" s="16"/>
    </row>
    <row r="11" spans="1:7" x14ac:dyDescent="0.35">
      <c r="D11" s="7" t="s">
        <v>22</v>
      </c>
      <c r="E11" s="32">
        <f>SUMIF(Tabelle2151618192021222324252627[Kategorie],"Sonstige Einnahmen",Tabelle2151618192021222324252627[Betrag])</f>
        <v>0</v>
      </c>
    </row>
    <row r="12" spans="1:7" x14ac:dyDescent="0.35">
      <c r="D12" s="7" t="s">
        <v>23</v>
      </c>
      <c r="E12" s="32">
        <f>SUMIF(Tabelle2151618192021222324252627[Kategorie],"Handy",Tabelle2151618192021222324252627[Betrag])</f>
        <v>0</v>
      </c>
      <c r="F12" s="16"/>
    </row>
    <row r="13" spans="1:7" x14ac:dyDescent="0.35">
      <c r="D13" s="7" t="s">
        <v>24</v>
      </c>
      <c r="E13" s="32">
        <f>SUMIF(Tabelle2151618192021222324252627[Kategorie],"Miete",Tabelle2151618192021222324252627[Betrag])</f>
        <v>0</v>
      </c>
    </row>
    <row r="14" spans="1:7" x14ac:dyDescent="0.35">
      <c r="D14" s="7" t="s">
        <v>25</v>
      </c>
      <c r="E14" s="32">
        <f>SUMIF(Tabelle2151618192021222324252627[Kategorie],"Einkommen",Tabelle2151618192021222324252627[Betrag])</f>
        <v>0</v>
      </c>
      <c r="F14" s="16"/>
    </row>
    <row r="15" spans="1:7" x14ac:dyDescent="0.35">
      <c r="D15" s="7" t="s">
        <v>26</v>
      </c>
      <c r="E15" s="32">
        <f>SUMIF(Tabelle2151618192021222324252627[Kategorie],"Ersparnisse",Tabelle2151618192021222324252627[Betrag])</f>
        <v>0</v>
      </c>
      <c r="F15" s="16"/>
    </row>
    <row r="16" spans="1:7" x14ac:dyDescent="0.35">
      <c r="D16" s="7" t="s">
        <v>27</v>
      </c>
      <c r="E16" s="32">
        <f>SUMIF(Tabelle2151618192021222324252627[Kategorie],"Shoppen",Tabelle2151618192021222324252627[Betrag])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5cLXFE6tPDhZ1yQI3VwvTf+jj8bkVKt/Kvm5QQ/JaulPEg7lr0QEm/yHU0NsFjq1k4+oQkT/pFsWV99zeJvkfg==" saltValue="h3EliGfmnXHVMd1AOAvCkg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B1F7AC-33D6-4B9A-8E59-F3D68451A72C}">
          <x14:formula1>
            <xm:f>Kategorien!$A$2:$A$49</xm:f>
          </x14:formula1>
          <xm:sqref>A4:A61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A07F-CECF-436C-A773-523C52FD636C}">
  <dimension ref="A1:G14"/>
  <sheetViews>
    <sheetView workbookViewId="0">
      <selection activeCell="G13" sqref="G13"/>
    </sheetView>
  </sheetViews>
  <sheetFormatPr baseColWidth="10" defaultRowHeight="14.5" x14ac:dyDescent="0.35"/>
  <cols>
    <col min="1" max="1" width="26.1796875" bestFit="1" customWidth="1"/>
  </cols>
  <sheetData>
    <row r="1" spans="1:7" x14ac:dyDescent="0.35">
      <c r="A1" t="s">
        <v>40</v>
      </c>
    </row>
    <row r="2" spans="1:7" x14ac:dyDescent="0.35">
      <c r="A2" t="s">
        <v>15</v>
      </c>
    </row>
    <row r="3" spans="1:7" x14ac:dyDescent="0.35">
      <c r="A3" t="s">
        <v>16</v>
      </c>
      <c r="B3" s="1" t="s">
        <v>51</v>
      </c>
    </row>
    <row r="4" spans="1:7" x14ac:dyDescent="0.35">
      <c r="A4" t="s">
        <v>18</v>
      </c>
    </row>
    <row r="5" spans="1:7" x14ac:dyDescent="0.35">
      <c r="A5" t="s">
        <v>19</v>
      </c>
    </row>
    <row r="6" spans="1:7" x14ac:dyDescent="0.35">
      <c r="A6" t="s">
        <v>20</v>
      </c>
      <c r="F6" t="s">
        <v>53</v>
      </c>
    </row>
    <row r="7" spans="1:7" x14ac:dyDescent="0.35">
      <c r="A7" t="s">
        <v>5</v>
      </c>
      <c r="F7" s="1" t="s">
        <v>54</v>
      </c>
      <c r="G7" s="1"/>
    </row>
    <row r="8" spans="1:7" x14ac:dyDescent="0.35">
      <c r="A8" t="s">
        <v>21</v>
      </c>
      <c r="F8" s="1" t="s">
        <v>55</v>
      </c>
      <c r="G8" s="1"/>
    </row>
    <row r="9" spans="1:7" x14ac:dyDescent="0.35">
      <c r="A9" t="s">
        <v>22</v>
      </c>
      <c r="F9" s="1" t="s">
        <v>56</v>
      </c>
      <c r="G9" s="1"/>
    </row>
    <row r="10" spans="1:7" x14ac:dyDescent="0.35">
      <c r="A10" t="s">
        <v>23</v>
      </c>
      <c r="F10" s="1" t="s">
        <v>57</v>
      </c>
      <c r="G10" s="1"/>
    </row>
    <row r="11" spans="1:7" x14ac:dyDescent="0.35">
      <c r="A11" t="s">
        <v>24</v>
      </c>
      <c r="F11" s="1" t="s">
        <v>4</v>
      </c>
      <c r="G11" s="1" t="s">
        <v>59</v>
      </c>
    </row>
    <row r="12" spans="1:7" x14ac:dyDescent="0.35">
      <c r="A12" t="s">
        <v>25</v>
      </c>
      <c r="F12" s="1" t="s">
        <v>58</v>
      </c>
      <c r="G12" s="1" t="s">
        <v>60</v>
      </c>
    </row>
    <row r="13" spans="1:7" x14ac:dyDescent="0.35">
      <c r="A13" t="s">
        <v>26</v>
      </c>
    </row>
    <row r="14" spans="1:7" x14ac:dyDescent="0.35">
      <c r="A14" t="s">
        <v>27</v>
      </c>
      <c r="B14" s="1" t="s">
        <v>52</v>
      </c>
    </row>
  </sheetData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C546-28BF-4104-96EA-9031B7C3D4E2}">
  <dimension ref="A1:D16"/>
  <sheetViews>
    <sheetView workbookViewId="0">
      <selection activeCell="D16" activeCellId="1" sqref="B15:C15 D16"/>
    </sheetView>
  </sheetViews>
  <sheetFormatPr baseColWidth="10" defaultRowHeight="14.5" x14ac:dyDescent="0.35"/>
  <cols>
    <col min="1" max="1" width="17" style="7" bestFit="1" customWidth="1"/>
    <col min="2" max="2" width="18.36328125" style="7" bestFit="1" customWidth="1"/>
    <col min="3" max="3" width="17.08984375" style="7" bestFit="1" customWidth="1"/>
    <col min="4" max="16384" width="10.90625" style="7"/>
  </cols>
  <sheetData>
    <row r="1" spans="1:4" x14ac:dyDescent="0.35">
      <c r="A1" s="6" t="s">
        <v>28</v>
      </c>
      <c r="B1" s="6" t="s">
        <v>38</v>
      </c>
      <c r="C1" s="6" t="s">
        <v>39</v>
      </c>
    </row>
    <row r="2" spans="1:4" x14ac:dyDescent="0.35">
      <c r="A2" s="8" t="s">
        <v>15</v>
      </c>
      <c r="B2" s="9"/>
      <c r="C2" s="9"/>
    </row>
    <row r="3" spans="1:4" x14ac:dyDescent="0.35">
      <c r="A3" s="8" t="s">
        <v>17</v>
      </c>
      <c r="B3" s="9"/>
      <c r="C3" s="9"/>
    </row>
    <row r="4" spans="1:4" x14ac:dyDescent="0.35">
      <c r="A4" s="8" t="s">
        <v>18</v>
      </c>
      <c r="B4" s="9"/>
      <c r="C4" s="9"/>
    </row>
    <row r="5" spans="1:4" x14ac:dyDescent="0.35">
      <c r="A5" s="8" t="s">
        <v>19</v>
      </c>
      <c r="B5" s="9"/>
      <c r="C5" s="9"/>
    </row>
    <row r="6" spans="1:4" x14ac:dyDescent="0.35">
      <c r="A6" s="8" t="s">
        <v>20</v>
      </c>
      <c r="B6" s="9"/>
      <c r="C6" s="9"/>
    </row>
    <row r="7" spans="1:4" x14ac:dyDescent="0.35">
      <c r="A7" s="8" t="s">
        <v>5</v>
      </c>
      <c r="B7" s="9"/>
      <c r="C7" s="9"/>
    </row>
    <row r="8" spans="1:4" x14ac:dyDescent="0.35">
      <c r="A8" s="8" t="s">
        <v>21</v>
      </c>
      <c r="B8" s="9"/>
      <c r="C8" s="9"/>
    </row>
    <row r="9" spans="1:4" x14ac:dyDescent="0.35">
      <c r="A9" s="8" t="s">
        <v>22</v>
      </c>
      <c r="B9" s="9"/>
      <c r="C9" s="9"/>
    </row>
    <row r="10" spans="1:4" x14ac:dyDescent="0.35">
      <c r="A10" s="8" t="s">
        <v>23</v>
      </c>
      <c r="B10" s="9"/>
      <c r="C10" s="9"/>
    </row>
    <row r="11" spans="1:4" x14ac:dyDescent="0.35">
      <c r="A11" s="8" t="s">
        <v>24</v>
      </c>
      <c r="B11" s="9"/>
      <c r="C11" s="9"/>
    </row>
    <row r="12" spans="1:4" x14ac:dyDescent="0.35">
      <c r="A12" s="8" t="s">
        <v>25</v>
      </c>
      <c r="B12" s="9"/>
      <c r="C12" s="9"/>
    </row>
    <row r="13" spans="1:4" x14ac:dyDescent="0.35">
      <c r="A13" s="8" t="s">
        <v>26</v>
      </c>
      <c r="B13" s="9"/>
      <c r="C13" s="9"/>
    </row>
    <row r="14" spans="1:4" x14ac:dyDescent="0.35">
      <c r="A14" s="8" t="s">
        <v>27</v>
      </c>
      <c r="B14" s="9"/>
      <c r="C14" s="9"/>
    </row>
    <row r="15" spans="1:4" ht="15" thickBot="1" x14ac:dyDescent="0.4">
      <c r="A15" s="6" t="s">
        <v>34</v>
      </c>
      <c r="B15" s="12">
        <f>SUM(B2:B14)</f>
        <v>0</v>
      </c>
      <c r="C15" s="12">
        <f>SUM(C2:C14)</f>
        <v>0</v>
      </c>
    </row>
    <row r="16" spans="1:4" ht="15" thickBot="1" x14ac:dyDescent="0.4">
      <c r="A16" s="10" t="s">
        <v>37</v>
      </c>
      <c r="B16" s="11"/>
      <c r="C16" s="10"/>
      <c r="D16" s="13">
        <f>B15-C15</f>
        <v>0</v>
      </c>
    </row>
  </sheetData>
  <sheetProtection algorithmName="SHA-512" hashValue="8DsnJ0XKTx0cygEz6iUn8ZnA8kKRah8hR2zke2DN+RAeYghrQEJ5ZTa0/kopa3uCyFLpOAbaGTCqpmK/mQgxdg==" saltValue="kifcBw2oMTy0576HzC58w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60F8-9B77-49A8-95E0-517A25FF59B9}">
  <dimension ref="A1:O55"/>
  <sheetViews>
    <sheetView zoomScale="70" zoomScaleNormal="70" workbookViewId="0">
      <selection activeCell="E5" sqref="E5"/>
    </sheetView>
  </sheetViews>
  <sheetFormatPr baseColWidth="10" defaultRowHeight="14.5" x14ac:dyDescent="0.35"/>
  <cols>
    <col min="1" max="1" width="9.90625" style="7" bestFit="1" customWidth="1"/>
    <col min="2" max="2" width="19.81640625" style="7" bestFit="1" customWidth="1"/>
    <col min="3" max="3" width="11.90625" style="7" bestFit="1" customWidth="1"/>
    <col min="4" max="4" width="9.1796875" style="7" bestFit="1" customWidth="1"/>
    <col min="5" max="6" width="11.90625" style="7" bestFit="1" customWidth="1"/>
    <col min="7" max="7" width="10.7265625" style="7" bestFit="1" customWidth="1"/>
    <col min="8" max="8" width="16.7265625" style="7" bestFit="1" customWidth="1"/>
    <col min="9" max="9" width="9.26953125" style="7" bestFit="1" customWidth="1"/>
    <col min="10" max="10" width="7.90625" style="7" bestFit="1" customWidth="1"/>
    <col min="11" max="11" width="10.08984375" style="7" bestFit="1" customWidth="1"/>
    <col min="12" max="12" width="11.6328125" style="7" bestFit="1" customWidth="1"/>
    <col min="13" max="16384" width="10.90625" style="7"/>
  </cols>
  <sheetData>
    <row r="1" spans="1:13" ht="21" x14ac:dyDescent="0.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35">
      <c r="A2" s="14" t="s">
        <v>33</v>
      </c>
      <c r="B2" s="15" t="s">
        <v>15</v>
      </c>
      <c r="C2" s="15" t="s">
        <v>17</v>
      </c>
      <c r="D2" s="15" t="s">
        <v>18</v>
      </c>
      <c r="E2" s="7" t="s">
        <v>19</v>
      </c>
      <c r="F2" s="15" t="s">
        <v>20</v>
      </c>
      <c r="G2" s="15" t="s">
        <v>5</v>
      </c>
      <c r="H2" s="15" t="s">
        <v>21</v>
      </c>
      <c r="I2" s="15" t="s">
        <v>23</v>
      </c>
      <c r="J2" s="15" t="s">
        <v>24</v>
      </c>
      <c r="K2" s="15" t="s">
        <v>26</v>
      </c>
      <c r="L2" s="15" t="s">
        <v>27</v>
      </c>
      <c r="M2" s="15" t="s">
        <v>34</v>
      </c>
    </row>
    <row r="3" spans="1:13" x14ac:dyDescent="0.35">
      <c r="A3" s="20" t="s">
        <v>8</v>
      </c>
      <c r="B3" s="21">
        <f>Jan!E4</f>
        <v>0</v>
      </c>
      <c r="C3" s="21">
        <f>Jan!E5</f>
        <v>0</v>
      </c>
      <c r="D3" s="21">
        <f>Jan!E6</f>
        <v>0</v>
      </c>
      <c r="E3" s="21">
        <f>Jan!E7</f>
        <v>0</v>
      </c>
      <c r="F3" s="21">
        <f>Jan!E8</f>
        <v>0</v>
      </c>
      <c r="G3" s="21">
        <f>Jan!E9</f>
        <v>0</v>
      </c>
      <c r="H3" s="21">
        <f>Jan!E10</f>
        <v>0</v>
      </c>
      <c r="I3" s="21">
        <f>Jan!E12</f>
        <v>0</v>
      </c>
      <c r="J3" s="21">
        <f>Jan!E13</f>
        <v>0</v>
      </c>
      <c r="K3" s="21">
        <f>Jan!E15</f>
        <v>0</v>
      </c>
      <c r="L3" s="21">
        <f>Jan!E16</f>
        <v>0</v>
      </c>
      <c r="M3" s="22">
        <f>SUM(Tabelle2614[[#This Row],[Essen gehen]:[Shoppen]])</f>
        <v>0</v>
      </c>
    </row>
    <row r="4" spans="1:13" x14ac:dyDescent="0.35">
      <c r="A4" s="20" t="s">
        <v>9</v>
      </c>
      <c r="B4" s="21">
        <f>Feb!E4</f>
        <v>0</v>
      </c>
      <c r="C4" s="21">
        <f>Feb!E5</f>
        <v>0</v>
      </c>
      <c r="D4" s="21">
        <f>Feb!E6</f>
        <v>0</v>
      </c>
      <c r="E4" s="21">
        <f>Feb!E7</f>
        <v>0</v>
      </c>
      <c r="F4" s="21">
        <f>Feb!E8</f>
        <v>0</v>
      </c>
      <c r="G4" s="21">
        <f>Feb!E9</f>
        <v>0</v>
      </c>
      <c r="H4" s="21">
        <f>Feb!E10</f>
        <v>0</v>
      </c>
      <c r="I4" s="21">
        <f>Feb!E12</f>
        <v>0</v>
      </c>
      <c r="J4" s="21">
        <f>Feb!E13</f>
        <v>0</v>
      </c>
      <c r="K4" s="21">
        <f>Feb!E15</f>
        <v>0</v>
      </c>
      <c r="L4" s="21">
        <f>Feb!E16</f>
        <v>0</v>
      </c>
      <c r="M4" s="22">
        <f>SUM(Tabelle2614[[#This Row],[Essen gehen]:[Shoppen]])</f>
        <v>0</v>
      </c>
    </row>
    <row r="5" spans="1:13" x14ac:dyDescent="0.35">
      <c r="A5" s="20" t="s">
        <v>10</v>
      </c>
      <c r="B5" s="21">
        <f>Mär!E4</f>
        <v>0</v>
      </c>
      <c r="C5" s="21">
        <f>Mär!E5</f>
        <v>0</v>
      </c>
      <c r="D5" s="21">
        <f>Mär!E6</f>
        <v>0</v>
      </c>
      <c r="E5" s="21">
        <f>Mär!E7</f>
        <v>0</v>
      </c>
      <c r="F5" s="21">
        <f>Mär!E8</f>
        <v>0</v>
      </c>
      <c r="G5" s="21">
        <f>Mär!E9</f>
        <v>0</v>
      </c>
      <c r="H5" s="21">
        <f>Mär!E10</f>
        <v>0</v>
      </c>
      <c r="I5" s="21">
        <f>Mär!E12</f>
        <v>0</v>
      </c>
      <c r="J5" s="21">
        <f>Mär!E13</f>
        <v>0</v>
      </c>
      <c r="K5" s="21">
        <f>Mär!E15</f>
        <v>0</v>
      </c>
      <c r="L5" s="21">
        <f>Mär!E16</f>
        <v>0</v>
      </c>
      <c r="M5" s="22">
        <f>SUM(Tabelle2614[[#This Row],[Essen gehen]:[Shoppen]])</f>
        <v>0</v>
      </c>
    </row>
    <row r="6" spans="1:13" x14ac:dyDescent="0.35">
      <c r="A6" s="20" t="s">
        <v>0</v>
      </c>
      <c r="B6" s="21">
        <f>Apr!E4</f>
        <v>0</v>
      </c>
      <c r="C6" s="21">
        <f>Apr!E5</f>
        <v>0</v>
      </c>
      <c r="D6" s="21">
        <f>Apr!E6</f>
        <v>0</v>
      </c>
      <c r="E6" s="21">
        <f>Apr!E7</f>
        <v>0</v>
      </c>
      <c r="F6" s="21">
        <f>Apr!E8</f>
        <v>0</v>
      </c>
      <c r="G6" s="21">
        <f>Apr!E9</f>
        <v>0</v>
      </c>
      <c r="H6" s="21">
        <f>Apr!E10</f>
        <v>0</v>
      </c>
      <c r="I6" s="21">
        <f>Apr!E12</f>
        <v>0</v>
      </c>
      <c r="J6" s="21">
        <f>Apr!E13</f>
        <v>0</v>
      </c>
      <c r="K6" s="21">
        <f>Apr!E15</f>
        <v>0</v>
      </c>
      <c r="L6" s="21">
        <f>Apr!E16</f>
        <v>0</v>
      </c>
      <c r="M6" s="22">
        <f>SUM(Tabelle2614[[#This Row],[Essen gehen]:[Shoppen]])</f>
        <v>0</v>
      </c>
    </row>
    <row r="7" spans="1:13" x14ac:dyDescent="0.35">
      <c r="A7" s="20" t="s">
        <v>11</v>
      </c>
      <c r="B7" s="21">
        <f>Mai!E4</f>
        <v>0</v>
      </c>
      <c r="C7" s="21">
        <f>Mai!E5</f>
        <v>0</v>
      </c>
      <c r="D7" s="21">
        <f>Mai!E6</f>
        <v>0</v>
      </c>
      <c r="E7" s="21">
        <f>Mai!E7</f>
        <v>0</v>
      </c>
      <c r="F7" s="21">
        <f>Mai!E8</f>
        <v>0</v>
      </c>
      <c r="G7" s="21">
        <f>Mai!E9</f>
        <v>0</v>
      </c>
      <c r="H7" s="21">
        <f>Mai!E10</f>
        <v>0</v>
      </c>
      <c r="I7" s="21">
        <f>Mai!E12</f>
        <v>0</v>
      </c>
      <c r="J7" s="21">
        <f>Mai!E13</f>
        <v>0</v>
      </c>
      <c r="K7" s="21">
        <f>Mai!E15</f>
        <v>0</v>
      </c>
      <c r="L7" s="21">
        <f>Mai!E16</f>
        <v>0</v>
      </c>
      <c r="M7" s="22">
        <f>SUM(Tabelle2614[[#This Row],[Essen gehen]:[Shoppen]])</f>
        <v>0</v>
      </c>
    </row>
    <row r="8" spans="1:13" x14ac:dyDescent="0.35">
      <c r="A8" s="20" t="s">
        <v>12</v>
      </c>
      <c r="B8" s="21">
        <f>Jun!E4</f>
        <v>0</v>
      </c>
      <c r="C8" s="21">
        <f>Jun!E5</f>
        <v>0</v>
      </c>
      <c r="D8" s="21">
        <f>Jun!E6</f>
        <v>0</v>
      </c>
      <c r="E8" s="21">
        <f>Jun!E7</f>
        <v>0</v>
      </c>
      <c r="F8" s="21">
        <f>Jun!E8</f>
        <v>0</v>
      </c>
      <c r="G8" s="21">
        <f>Jun!E9</f>
        <v>0</v>
      </c>
      <c r="H8" s="21">
        <f>Jun!E10</f>
        <v>0</v>
      </c>
      <c r="I8" s="21">
        <f>Jun!E12</f>
        <v>0</v>
      </c>
      <c r="J8" s="21">
        <f>Jun!E13</f>
        <v>0</v>
      </c>
      <c r="K8" s="21">
        <f>Jun!E15</f>
        <v>0</v>
      </c>
      <c r="L8" s="21">
        <f>Jun!E16</f>
        <v>0</v>
      </c>
      <c r="M8" s="22">
        <f>SUM(Tabelle2614[[#This Row],[Essen gehen]:[Shoppen]])</f>
        <v>0</v>
      </c>
    </row>
    <row r="9" spans="1:13" x14ac:dyDescent="0.35">
      <c r="A9" s="20" t="s">
        <v>13</v>
      </c>
      <c r="B9" s="21">
        <f>Jul!E4</f>
        <v>0</v>
      </c>
      <c r="C9" s="21">
        <f>Jul!E5</f>
        <v>0</v>
      </c>
      <c r="D9" s="21">
        <f>Jul!E6</f>
        <v>0</v>
      </c>
      <c r="E9" s="21">
        <f>Jul!E7</f>
        <v>0</v>
      </c>
      <c r="F9" s="21">
        <f>Jul!E8</f>
        <v>0</v>
      </c>
      <c r="G9" s="21">
        <f>Jul!E9</f>
        <v>0</v>
      </c>
      <c r="H9" s="21">
        <f>Jul!E10</f>
        <v>0</v>
      </c>
      <c r="I9" s="21">
        <f>Jul!E12</f>
        <v>0</v>
      </c>
      <c r="J9" s="21">
        <f>Jul!E13</f>
        <v>0</v>
      </c>
      <c r="K9" s="21">
        <f>Jul!E15</f>
        <v>0</v>
      </c>
      <c r="L9" s="21">
        <f>Jul!E16</f>
        <v>0</v>
      </c>
      <c r="M9" s="22">
        <f>SUM(Tabelle2614[[#This Row],[Essen gehen]:[Shoppen]])</f>
        <v>0</v>
      </c>
    </row>
    <row r="10" spans="1:13" x14ac:dyDescent="0.35">
      <c r="A10" s="20" t="s">
        <v>1</v>
      </c>
      <c r="B10" s="21">
        <f>Aug!E4</f>
        <v>0</v>
      </c>
      <c r="C10" s="21">
        <f>Aug!E4</f>
        <v>0</v>
      </c>
      <c r="D10" s="21">
        <f>Aug!E6</f>
        <v>0</v>
      </c>
      <c r="E10" s="21">
        <f>Aug!E7</f>
        <v>0</v>
      </c>
      <c r="F10" s="21">
        <f>Aug!E8</f>
        <v>0</v>
      </c>
      <c r="G10" s="21">
        <f>Aug!E9</f>
        <v>0</v>
      </c>
      <c r="H10" s="21">
        <f>Aug!E10</f>
        <v>0</v>
      </c>
      <c r="I10" s="21">
        <f>Aug!E12</f>
        <v>0</v>
      </c>
      <c r="J10" s="21">
        <f>Aug!E13</f>
        <v>0</v>
      </c>
      <c r="K10" s="21">
        <f>Aug!E15</f>
        <v>0</v>
      </c>
      <c r="L10" s="21">
        <f>Aug!E16</f>
        <v>0</v>
      </c>
      <c r="M10" s="22">
        <f>SUM(Tabelle2614[[#This Row],[Essen gehen]:[Shoppen]])</f>
        <v>0</v>
      </c>
    </row>
    <row r="11" spans="1:13" x14ac:dyDescent="0.35">
      <c r="A11" s="20" t="s">
        <v>2</v>
      </c>
      <c r="B11" s="21">
        <f>Sep!E4</f>
        <v>0</v>
      </c>
      <c r="C11" s="21">
        <f>Sep!E5</f>
        <v>0</v>
      </c>
      <c r="D11" s="21">
        <f>Sep!E6</f>
        <v>0</v>
      </c>
      <c r="E11" s="21">
        <f>Sep!E7</f>
        <v>0</v>
      </c>
      <c r="F11" s="21">
        <f>Sep!E8</f>
        <v>0</v>
      </c>
      <c r="G11" s="21">
        <f>Sep!E9</f>
        <v>0</v>
      </c>
      <c r="H11" s="21">
        <f>Sep!E10</f>
        <v>0</v>
      </c>
      <c r="I11" s="21">
        <f>Sep!E12</f>
        <v>0</v>
      </c>
      <c r="J11" s="21">
        <f>Sep!E13</f>
        <v>0</v>
      </c>
      <c r="K11" s="21">
        <f>Sep!E15</f>
        <v>0</v>
      </c>
      <c r="L11" s="21">
        <f>Sep!E16</f>
        <v>0</v>
      </c>
      <c r="M11" s="22">
        <f>SUM(Tabelle2614[[#This Row],[Essen gehen]:[Shoppen]])</f>
        <v>0</v>
      </c>
    </row>
    <row r="12" spans="1:13" x14ac:dyDescent="0.35">
      <c r="A12" s="20" t="s">
        <v>14</v>
      </c>
      <c r="B12" s="21">
        <f>Okt!E4</f>
        <v>0</v>
      </c>
      <c r="C12" s="21">
        <f>Okt!E5</f>
        <v>0</v>
      </c>
      <c r="D12" s="21">
        <f>Okt!E6</f>
        <v>0</v>
      </c>
      <c r="E12" s="21">
        <f>Okt!E7</f>
        <v>0</v>
      </c>
      <c r="F12" s="21">
        <f>Okt!E8</f>
        <v>0</v>
      </c>
      <c r="G12" s="21">
        <f>Okt!E9</f>
        <v>0</v>
      </c>
      <c r="H12" s="21">
        <f>Okt!E10</f>
        <v>0</v>
      </c>
      <c r="I12" s="21">
        <f>Okt!E12</f>
        <v>0</v>
      </c>
      <c r="J12" s="21">
        <f>Okt!E13</f>
        <v>0</v>
      </c>
      <c r="K12" s="21">
        <f>Okt!E15</f>
        <v>0</v>
      </c>
      <c r="L12" s="21">
        <f>Okt!E16</f>
        <v>0</v>
      </c>
      <c r="M12" s="22">
        <f>SUM(Tabelle2614[[#This Row],[Essen gehen]:[Shoppen]])</f>
        <v>0</v>
      </c>
    </row>
    <row r="13" spans="1:13" x14ac:dyDescent="0.35">
      <c r="A13" s="20" t="s">
        <v>3</v>
      </c>
      <c r="B13" s="21">
        <f>Nov!E4</f>
        <v>0</v>
      </c>
      <c r="C13" s="21">
        <f>Nov!E5</f>
        <v>0</v>
      </c>
      <c r="D13" s="21">
        <f>Nov!E6</f>
        <v>0</v>
      </c>
      <c r="E13" s="21">
        <f>Nov!E7</f>
        <v>0</v>
      </c>
      <c r="F13" s="21">
        <f>Nov!E8</f>
        <v>0</v>
      </c>
      <c r="G13" s="21">
        <f>Nov!E9</f>
        <v>0</v>
      </c>
      <c r="H13" s="21">
        <f>Nov!E10</f>
        <v>0</v>
      </c>
      <c r="I13" s="21">
        <f>Nov!E12</f>
        <v>0</v>
      </c>
      <c r="J13" s="21">
        <f>Nov!E13</f>
        <v>0</v>
      </c>
      <c r="K13" s="21">
        <f>Nov!E15</f>
        <v>0</v>
      </c>
      <c r="L13" s="21">
        <f>Nov!E16</f>
        <v>0</v>
      </c>
      <c r="M13" s="22">
        <f>SUM(Tabelle2614[[#This Row],[Essen gehen]:[Shoppen]])</f>
        <v>0</v>
      </c>
    </row>
    <row r="14" spans="1:13" x14ac:dyDescent="0.35">
      <c r="A14" s="23" t="s">
        <v>7</v>
      </c>
      <c r="B14" s="21">
        <f>Dez!E4</f>
        <v>0</v>
      </c>
      <c r="C14" s="21">
        <f>Dez!E5</f>
        <v>0</v>
      </c>
      <c r="D14" s="21">
        <f>Dez!E6</f>
        <v>0</v>
      </c>
      <c r="E14" s="21">
        <f>Dez!E7</f>
        <v>0</v>
      </c>
      <c r="F14" s="21">
        <f>Dez!E8</f>
        <v>0</v>
      </c>
      <c r="G14" s="21">
        <f>Dez!E9</f>
        <v>0</v>
      </c>
      <c r="H14" s="21">
        <f>Dez!E10</f>
        <v>0</v>
      </c>
      <c r="I14" s="21">
        <f>Dez!E12</f>
        <v>0</v>
      </c>
      <c r="J14" s="21">
        <f>Dez!E13</f>
        <v>0</v>
      </c>
      <c r="K14" s="21">
        <f>Dez!E15</f>
        <v>0</v>
      </c>
      <c r="L14" s="21">
        <f>Dez!E16</f>
        <v>0</v>
      </c>
      <c r="M14" s="22">
        <f>SUM(Tabelle2614[[#This Row],[Essen gehen]:[Shoppen]])</f>
        <v>0</v>
      </c>
    </row>
    <row r="15" spans="1:13" s="10" customFormat="1" x14ac:dyDescent="0.35">
      <c r="A15" s="24" t="s">
        <v>34</v>
      </c>
      <c r="B15" s="25">
        <f>SUM(B3:B14)</f>
        <v>0</v>
      </c>
      <c r="C15" s="25">
        <f>SUM(C3:C14)</f>
        <v>0</v>
      </c>
      <c r="D15" s="25">
        <f t="shared" ref="D15:L15" si="0">SUM(D3:D14)</f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si="0"/>
        <v>0</v>
      </c>
      <c r="M15" s="26">
        <f>SUM(Tabelle2614[[#This Row],[Essen gehen]:[Shoppen]])</f>
        <v>0</v>
      </c>
    </row>
    <row r="16" spans="1:13" x14ac:dyDescent="0.35">
      <c r="A16" s="27" t="s">
        <v>36</v>
      </c>
      <c r="B16" s="28">
        <f>AVERAGE(B3:B14)</f>
        <v>0</v>
      </c>
      <c r="C16" s="28">
        <f>AVERAGE(C3:C14)</f>
        <v>0</v>
      </c>
      <c r="D16" s="28">
        <f t="shared" ref="D16:L16" si="1">AVERAGE(D3:D14)</f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ref="M16" si="2">M15/12</f>
        <v>0</v>
      </c>
    </row>
    <row r="18" spans="1:15" x14ac:dyDescent="0.35">
      <c r="E18" s="16"/>
      <c r="J18" s="16"/>
      <c r="L18" s="16"/>
    </row>
    <row r="19" spans="1:15" ht="21" x14ac:dyDescent="0.5">
      <c r="A19" s="36" t="s">
        <v>32</v>
      </c>
      <c r="B19" s="36"/>
      <c r="C19" s="36"/>
      <c r="D19" s="36"/>
    </row>
    <row r="20" spans="1:15" x14ac:dyDescent="0.35">
      <c r="A20" s="14" t="s">
        <v>33</v>
      </c>
      <c r="B20" s="15" t="s">
        <v>22</v>
      </c>
      <c r="C20" s="15" t="s">
        <v>25</v>
      </c>
      <c r="D20" s="15" t="s">
        <v>35</v>
      </c>
    </row>
    <row r="21" spans="1:15" x14ac:dyDescent="0.35">
      <c r="A21" s="20" t="s">
        <v>8</v>
      </c>
      <c r="B21" s="21">
        <f>Jan!E11</f>
        <v>0</v>
      </c>
      <c r="C21" s="21">
        <f>Jan!E14</f>
        <v>0</v>
      </c>
      <c r="D21" s="22">
        <f>SUM(Tabelle261417[[#This Row],[Sonstige Einnahmen]:[Einkommen]])</f>
        <v>0</v>
      </c>
    </row>
    <row r="22" spans="1:15" x14ac:dyDescent="0.35">
      <c r="A22" s="20" t="s">
        <v>9</v>
      </c>
      <c r="B22" s="21">
        <f>Feb!E11</f>
        <v>0</v>
      </c>
      <c r="C22" s="21">
        <f>Feb!E14</f>
        <v>0</v>
      </c>
      <c r="D22" s="22">
        <f>SUM(Tabelle261417[[#This Row],[Sonstige Einnahmen]:[Einkommen]])</f>
        <v>0</v>
      </c>
    </row>
    <row r="23" spans="1:15" x14ac:dyDescent="0.35">
      <c r="A23" s="20" t="s">
        <v>10</v>
      </c>
      <c r="B23" s="21">
        <f>Mär!E11</f>
        <v>0</v>
      </c>
      <c r="C23" s="21">
        <f>Mär!E14</f>
        <v>0</v>
      </c>
      <c r="D23" s="22">
        <f>SUM(Tabelle261417[[#This Row],[Sonstige Einnahmen]:[Einkommen]])</f>
        <v>0</v>
      </c>
    </row>
    <row r="24" spans="1:15" x14ac:dyDescent="0.35">
      <c r="A24" s="20" t="s">
        <v>0</v>
      </c>
      <c r="B24" s="21">
        <f>Apr!E11</f>
        <v>0</v>
      </c>
      <c r="C24" s="21">
        <f>Apr!E14</f>
        <v>0</v>
      </c>
      <c r="D24" s="22">
        <f>SUM(Tabelle261417[[#This Row],[Sonstige Einnahmen]:[Einkommen]])</f>
        <v>0</v>
      </c>
    </row>
    <row r="25" spans="1:15" x14ac:dyDescent="0.35">
      <c r="A25" s="20" t="s">
        <v>11</v>
      </c>
      <c r="B25" s="21">
        <f>Mai!E11</f>
        <v>0</v>
      </c>
      <c r="C25" s="21">
        <f>Mai!E14</f>
        <v>0</v>
      </c>
      <c r="D25" s="22">
        <f>SUM(Tabelle261417[[#This Row],[Sonstige Einnahmen]:[Einkommen]])</f>
        <v>0</v>
      </c>
    </row>
    <row r="26" spans="1:15" x14ac:dyDescent="0.35">
      <c r="A26" s="20" t="s">
        <v>12</v>
      </c>
      <c r="B26" s="21">
        <f>Jun!E11</f>
        <v>0</v>
      </c>
      <c r="C26" s="21">
        <f>Jun!E14</f>
        <v>0</v>
      </c>
      <c r="D26" s="22">
        <f>SUM(Tabelle261417[[#This Row],[Sonstige Einnahmen]:[Einkommen]])</f>
        <v>0</v>
      </c>
    </row>
    <row r="27" spans="1:15" x14ac:dyDescent="0.35">
      <c r="A27" s="20" t="s">
        <v>13</v>
      </c>
      <c r="B27" s="21">
        <f>Jul!E11</f>
        <v>0</v>
      </c>
      <c r="C27" s="21">
        <f>Jul!E14</f>
        <v>0</v>
      </c>
      <c r="D27" s="22">
        <f>SUM(Tabelle261417[[#This Row],[Sonstige Einnahmen]:[Einkommen]])</f>
        <v>0</v>
      </c>
      <c r="L27" s="16"/>
    </row>
    <row r="28" spans="1:15" x14ac:dyDescent="0.35">
      <c r="A28" s="20" t="s">
        <v>1</v>
      </c>
      <c r="B28" s="21">
        <f>Aug!E11</f>
        <v>0</v>
      </c>
      <c r="C28" s="21">
        <f>Aug!E14</f>
        <v>0</v>
      </c>
      <c r="D28" s="22">
        <f>SUM(Tabelle261417[[#This Row],[Sonstige Einnahmen]:[Einkommen]])</f>
        <v>0</v>
      </c>
      <c r="K28" s="16"/>
      <c r="L28" s="16"/>
      <c r="O28" s="17"/>
    </row>
    <row r="29" spans="1:15" x14ac:dyDescent="0.35">
      <c r="A29" s="20" t="s">
        <v>2</v>
      </c>
      <c r="B29" s="21">
        <f>Sep!E11</f>
        <v>0</v>
      </c>
      <c r="C29" s="21">
        <f>Sep!E14</f>
        <v>0</v>
      </c>
      <c r="D29" s="22">
        <f>SUM(Tabelle261417[[#This Row],[Sonstige Einnahmen]:[Einkommen]])</f>
        <v>0</v>
      </c>
      <c r="K29" s="16"/>
      <c r="L29" s="16"/>
    </row>
    <row r="30" spans="1:15" x14ac:dyDescent="0.35">
      <c r="A30" s="20" t="s">
        <v>14</v>
      </c>
      <c r="B30" s="21">
        <f>Okt!E11</f>
        <v>0</v>
      </c>
      <c r="C30" s="21">
        <f>Okt!E14</f>
        <v>0</v>
      </c>
      <c r="D30" s="22">
        <f>SUM(Tabelle261417[[#This Row],[Sonstige Einnahmen]:[Einkommen]])</f>
        <v>0</v>
      </c>
      <c r="K30" s="16"/>
      <c r="L30" s="16"/>
    </row>
    <row r="31" spans="1:15" x14ac:dyDescent="0.35">
      <c r="A31" s="20" t="s">
        <v>3</v>
      </c>
      <c r="B31" s="21">
        <f>Nov!E11</f>
        <v>0</v>
      </c>
      <c r="C31" s="21">
        <f>Nov!E14</f>
        <v>0</v>
      </c>
      <c r="D31" s="22">
        <f>SUM(Tabelle261417[[#This Row],[Sonstige Einnahmen]:[Einkommen]])</f>
        <v>0</v>
      </c>
      <c r="K31" s="16"/>
      <c r="L31" s="16"/>
    </row>
    <row r="32" spans="1:15" x14ac:dyDescent="0.35">
      <c r="A32" s="23" t="s">
        <v>7</v>
      </c>
      <c r="B32" s="21">
        <f>Dez!E11</f>
        <v>0</v>
      </c>
      <c r="C32" s="21">
        <f>Dez!E14</f>
        <v>0</v>
      </c>
      <c r="D32" s="22">
        <f>SUM(Tabelle261417[[#This Row],[Sonstige Einnahmen]:[Einkommen]])</f>
        <v>0</v>
      </c>
      <c r="K32" s="16"/>
      <c r="L32" s="16"/>
    </row>
    <row r="33" spans="1:15" x14ac:dyDescent="0.35">
      <c r="A33" s="24" t="s">
        <v>34</v>
      </c>
      <c r="B33" s="25">
        <f t="shared" ref="B33" si="3">SUM(B21:B32)</f>
        <v>0</v>
      </c>
      <c r="C33" s="25">
        <f t="shared" ref="C33" si="4">SUM(C21:C32)</f>
        <v>0</v>
      </c>
      <c r="D33" s="25">
        <f>SUM(Tabelle261417[[#This Row],[Sonstige Einnahmen]:[Einkommen]])</f>
        <v>0</v>
      </c>
      <c r="K33" s="16"/>
      <c r="L33" s="16"/>
    </row>
    <row r="34" spans="1:15" x14ac:dyDescent="0.35">
      <c r="A34" s="27" t="s">
        <v>36</v>
      </c>
      <c r="B34" s="28">
        <f t="shared" ref="B34:C34" si="5">AVERAGE(B21:B32)</f>
        <v>0</v>
      </c>
      <c r="C34" s="28">
        <f t="shared" si="5"/>
        <v>0</v>
      </c>
      <c r="D34" s="28">
        <f>SUM(Tabelle261417[[#This Row],[Sonstige Einnahmen]:[Einkommen]])</f>
        <v>0</v>
      </c>
      <c r="K34" s="16"/>
      <c r="L34" s="16"/>
    </row>
    <row r="35" spans="1:15" x14ac:dyDescent="0.35">
      <c r="K35" s="16"/>
      <c r="L35" s="16"/>
    </row>
    <row r="36" spans="1:15" x14ac:dyDescent="0.35">
      <c r="K36" s="16"/>
      <c r="L36" s="16"/>
      <c r="O36" s="17"/>
    </row>
    <row r="37" spans="1:15" x14ac:dyDescent="0.35">
      <c r="K37" s="16"/>
      <c r="L37" s="16"/>
    </row>
    <row r="38" spans="1:15" x14ac:dyDescent="0.35">
      <c r="K38" s="16"/>
      <c r="L38" s="16"/>
    </row>
    <row r="39" spans="1:15" x14ac:dyDescent="0.35">
      <c r="L39" s="16"/>
    </row>
    <row r="40" spans="1:15" x14ac:dyDescent="0.35">
      <c r="H40" s="18"/>
      <c r="L40" s="16"/>
    </row>
    <row r="41" spans="1:15" x14ac:dyDescent="0.35">
      <c r="L41" s="16"/>
    </row>
    <row r="42" spans="1:15" x14ac:dyDescent="0.35">
      <c r="L42" s="16"/>
    </row>
    <row r="43" spans="1:15" x14ac:dyDescent="0.35">
      <c r="L43" s="16"/>
    </row>
    <row r="44" spans="1:15" x14ac:dyDescent="0.35">
      <c r="L44" s="16"/>
    </row>
    <row r="45" spans="1:15" x14ac:dyDescent="0.35">
      <c r="L45" s="16"/>
    </row>
    <row r="55" spans="12:12" x14ac:dyDescent="0.35">
      <c r="L55" s="19"/>
    </row>
  </sheetData>
  <sheetProtection algorithmName="SHA-512" hashValue="Qs8NNNsQ9tyfdHE6+88jc1y4hVaWqw+oxdLiuycojbwSKnIZ093sYOpzRiK5VgDaeL5+o93HS5vTG3fE8NXGyg==" saltValue="c/1+PhQG8RlJdwJ+lwyC8A==" spinCount="100000" sheet="1" objects="1" scenarios="1"/>
  <mergeCells count="2">
    <mergeCell ref="A1:M1"/>
    <mergeCell ref="A19:D19"/>
  </mergeCells>
  <phoneticPr fontId="3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DC8F-E02E-4ABF-AB91-19B3EF60C7E8}">
  <sheetPr>
    <tabColor rgb="FFFFC000"/>
  </sheetPr>
  <dimension ref="A1:J53"/>
  <sheetViews>
    <sheetView zoomScale="78" zoomScaleNormal="78" workbookViewId="0">
      <selection activeCell="F18" sqref="F18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8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SUMIF(Tabelle215[Kategorie],"Essen gehen",Tabelle215[Betrag])</f>
        <v>0</v>
      </c>
      <c r="F4" s="16"/>
      <c r="G4" s="16"/>
    </row>
    <row r="5" spans="1:7" x14ac:dyDescent="0.35">
      <c r="D5" s="7" t="s">
        <v>17</v>
      </c>
      <c r="E5" s="32">
        <f>SUMIF(Tabelle215[Kategorie],"Freizeit",Tabelle215[Betrag])</f>
        <v>0</v>
      </c>
      <c r="F5" s="16"/>
    </row>
    <row r="6" spans="1:7" x14ac:dyDescent="0.35">
      <c r="D6" s="7" t="s">
        <v>18</v>
      </c>
      <c r="E6" s="32">
        <f>SUMIF(Tabelle215[Kategorie],"Geschenke",Tabelle215[Betrag])</f>
        <v>0</v>
      </c>
    </row>
    <row r="7" spans="1:7" x14ac:dyDescent="0.35">
      <c r="D7" s="7" t="s">
        <v>19</v>
      </c>
      <c r="E7" s="32">
        <f>SUMIF(Tabelle215[Kategorie],"Lebensmittel",Tabelle215[Betrag])</f>
        <v>0</v>
      </c>
    </row>
    <row r="8" spans="1:7" x14ac:dyDescent="0.35">
      <c r="D8" s="7" t="s">
        <v>20</v>
      </c>
      <c r="E8" s="32">
        <f>SUMIF(Tabelle215[Kategorie],"Versicherungen",Tabelle215[Betrag])</f>
        <v>0</v>
      </c>
      <c r="F8" s="16"/>
    </row>
    <row r="9" spans="1:7" x14ac:dyDescent="0.35">
      <c r="D9" s="7" t="s">
        <v>5</v>
      </c>
      <c r="E9" s="32">
        <f>SUMIF(Tabelle215[Kategorie],"Internet",Tabelle215[Betrag])</f>
        <v>0</v>
      </c>
      <c r="F9" s="16"/>
    </row>
    <row r="10" spans="1:7" x14ac:dyDescent="0.35">
      <c r="D10" s="7" t="s">
        <v>21</v>
      </c>
      <c r="E10" s="32">
        <f>SUMIF(Tabelle215[Kategorie],"Sonstige Ausgaben",Tabelle215[Betrag])</f>
        <v>0</v>
      </c>
      <c r="F10" s="16"/>
    </row>
    <row r="11" spans="1:7" x14ac:dyDescent="0.35">
      <c r="D11" s="7" t="s">
        <v>22</v>
      </c>
      <c r="E11" s="32">
        <f>SUMIF(Tabelle215[Kategorie],"Sonstige Einnahmen",Tabelle215[Betrag])</f>
        <v>0</v>
      </c>
    </row>
    <row r="12" spans="1:7" x14ac:dyDescent="0.35">
      <c r="D12" s="7" t="s">
        <v>23</v>
      </c>
      <c r="E12" s="32">
        <f>SUMIF(Tabelle215[Kategorie],"Handy",Tabelle215[Betrag])</f>
        <v>0</v>
      </c>
      <c r="F12" s="16"/>
    </row>
    <row r="13" spans="1:7" x14ac:dyDescent="0.35">
      <c r="D13" s="7" t="s">
        <v>24</v>
      </c>
      <c r="E13" s="32">
        <f>SUMIF(Tabelle215[Kategorie],"Miete",Tabelle215[Betrag])</f>
        <v>0</v>
      </c>
    </row>
    <row r="14" spans="1:7" x14ac:dyDescent="0.35">
      <c r="D14" s="7" t="s">
        <v>25</v>
      </c>
      <c r="E14" s="32">
        <f>SUMIF(Tabelle215[Kategorie],"Einkommen",Tabelle215[Betrag])</f>
        <v>0</v>
      </c>
      <c r="F14" s="16"/>
    </row>
    <row r="15" spans="1:7" x14ac:dyDescent="0.35">
      <c r="D15" s="7" t="s">
        <v>26</v>
      </c>
      <c r="E15" s="32">
        <f>SUMIF(Tabelle215[Kategorie],"Ersparnisse",Tabelle215[Betrag])</f>
        <v>0</v>
      </c>
      <c r="F15" s="16"/>
    </row>
    <row r="16" spans="1:7" x14ac:dyDescent="0.35">
      <c r="D16" s="7" t="s">
        <v>27</v>
      </c>
      <c r="E16" s="32">
        <f>SUMIF(Tabelle215[Kategorie],"Shoppen",Tabelle215[Betrag])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9U9KX6kBwBhGcqVYKseGGQn82+b5bmfEU3RZ61m+9VBrK1XqyzLNpR2KyptqMpRHDoCF5PuhMAyAgmzFtBUtXA==" saltValue="wclTc8ZWGk2FnBYS5KpGN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5EB31F-870E-4337-87B2-DB182B7125BF}">
          <x14:formula1>
            <xm:f>Kategorien!$A$2:$A$49</xm:f>
          </x14:formula1>
          <xm:sqref>A4:A61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0A18-06F6-4F08-A5DA-51D0A1200E9A}">
  <sheetPr>
    <tabColor rgb="FFFFC000"/>
  </sheetPr>
  <dimension ref="A1:J53"/>
  <sheetViews>
    <sheetView zoomScale="78" zoomScaleNormal="78" workbookViewId="0">
      <selection activeCell="E26" sqref="E2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9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SUMIF(Tabelle21516[Kategorie],"Essen gehen",Tabelle21516[Betrag])</f>
        <v>0</v>
      </c>
      <c r="F4" s="16"/>
      <c r="G4" s="16"/>
    </row>
    <row r="5" spans="1:7" x14ac:dyDescent="0.35">
      <c r="D5" s="7" t="s">
        <v>17</v>
      </c>
      <c r="E5" s="32">
        <f>SUMIF(Tabelle21516[Kategorie],"Freizeit",Tabelle21516[Betrag])</f>
        <v>0</v>
      </c>
      <c r="F5" s="16"/>
    </row>
    <row r="6" spans="1:7" x14ac:dyDescent="0.35">
      <c r="D6" s="7" t="s">
        <v>18</v>
      </c>
      <c r="E6" s="32">
        <f>SUMIF(Tabelle21516[Kategorie],"Geschenke",Tabelle21516[Betrag])</f>
        <v>0</v>
      </c>
    </row>
    <row r="7" spans="1:7" x14ac:dyDescent="0.35">
      <c r="D7" s="7" t="s">
        <v>19</v>
      </c>
      <c r="E7" s="32">
        <f>SUMIF(Tabelle21516[Kategorie],"Lebensmittel",Tabelle21516[Betrag])</f>
        <v>0</v>
      </c>
    </row>
    <row r="8" spans="1:7" x14ac:dyDescent="0.35">
      <c r="D8" s="7" t="s">
        <v>20</v>
      </c>
      <c r="E8" s="32">
        <f>SUMIF(Tabelle21516[Kategorie],"Versicherungen",Tabelle21516[Betrag])</f>
        <v>0</v>
      </c>
      <c r="F8" s="16"/>
    </row>
    <row r="9" spans="1:7" x14ac:dyDescent="0.35">
      <c r="D9" s="7" t="s">
        <v>5</v>
      </c>
      <c r="E9" s="32">
        <f>SUMIF(Tabelle21516[Kategorie],"Internet",Tabelle21516[Betrag])</f>
        <v>0</v>
      </c>
      <c r="F9" s="16"/>
    </row>
    <row r="10" spans="1:7" x14ac:dyDescent="0.35">
      <c r="D10" s="7" t="s">
        <v>21</v>
      </c>
      <c r="E10" s="32">
        <f>SUMIF(Tabelle21516[Kategorie],"Sonstige Ausgaben",Tabelle21516[Betrag])</f>
        <v>0</v>
      </c>
      <c r="F10" s="16"/>
    </row>
    <row r="11" spans="1:7" x14ac:dyDescent="0.35">
      <c r="D11" s="7" t="s">
        <v>22</v>
      </c>
      <c r="E11" s="32">
        <f>SUMIF(Tabelle21516[Kategorie],"Sonstige Einnahmen",Tabelle21516[Betrag])</f>
        <v>0</v>
      </c>
    </row>
    <row r="12" spans="1:7" x14ac:dyDescent="0.35">
      <c r="D12" s="7" t="s">
        <v>23</v>
      </c>
      <c r="E12" s="32">
        <f>SUMIF(Tabelle21516[Kategorie],"Handy",Tabelle21516[Betrag])</f>
        <v>0</v>
      </c>
      <c r="F12" s="16"/>
    </row>
    <row r="13" spans="1:7" x14ac:dyDescent="0.35">
      <c r="D13" s="7" t="s">
        <v>24</v>
      </c>
      <c r="E13" s="32">
        <f>SUMIF(Tabelle21516[Kategorie],"Miete",Tabelle21516[Betrag])</f>
        <v>0</v>
      </c>
    </row>
    <row r="14" spans="1:7" x14ac:dyDescent="0.35">
      <c r="D14" s="7" t="s">
        <v>25</v>
      </c>
      <c r="E14" s="32">
        <f>SUMIF(Tabelle21516[Kategorie],"Einkommen",Tabelle21516[Betrag])</f>
        <v>0</v>
      </c>
      <c r="F14" s="16"/>
    </row>
    <row r="15" spans="1:7" x14ac:dyDescent="0.35">
      <c r="D15" s="7" t="s">
        <v>26</v>
      </c>
      <c r="E15" s="32">
        <f>SUMIF(Tabelle21516[Kategorie],"Ersparnisse",Tabelle21516[Betrag])</f>
        <v>0</v>
      </c>
      <c r="F15" s="16"/>
    </row>
    <row r="16" spans="1:7" x14ac:dyDescent="0.35">
      <c r="D16" s="7" t="s">
        <v>27</v>
      </c>
      <c r="E16" s="32">
        <f>SUMIF(Tabelle21516[Kategorie],"Shoppen",Tabelle21516[Betrag])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Y2xH3mtF3oje5irhMNku/anegXRi3Pdu8pu5U1QNMuJKsJf/LAgCUsa2fNTODy2gmeFNNRcrwk+w/dCB52oz3w==" saltValue="afkrz6euaCfir4ZUU7pQBw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E7CDAD-9908-4066-AAC4-76404CCBB017}">
          <x14:formula1>
            <xm:f>Kategorien!$A$2:$A$49</xm:f>
          </x14:formula1>
          <xm:sqref>A4:A61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45F60-1852-4E13-9E5E-ECBC527E38E8}">
  <sheetPr>
    <tabColor rgb="FFFFC000"/>
  </sheetPr>
  <dimension ref="A1:J53"/>
  <sheetViews>
    <sheetView zoomScale="78" zoomScaleNormal="78" workbookViewId="0">
      <selection activeCell="E4" sqref="E4:E16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10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SUMIF(Tabelle2151618[Kategorie],"Essen gehen",Tabelle2151618[Betrag])</f>
        <v>0</v>
      </c>
      <c r="F4" s="16"/>
      <c r="G4" s="16"/>
    </row>
    <row r="5" spans="1:7" x14ac:dyDescent="0.35">
      <c r="D5" s="7" t="s">
        <v>17</v>
      </c>
      <c r="E5" s="32">
        <f>SUMIF(Tabelle2151618[Kategorie],"Freizeit",Tabelle2151618[Betrag])</f>
        <v>0</v>
      </c>
      <c r="F5" s="16"/>
    </row>
    <row r="6" spans="1:7" x14ac:dyDescent="0.35">
      <c r="D6" s="7" t="s">
        <v>18</v>
      </c>
      <c r="E6" s="32">
        <f>SUMIF(Tabelle2151618[Kategorie],"Geschenke",Tabelle2151618[Betrag])</f>
        <v>0</v>
      </c>
    </row>
    <row r="7" spans="1:7" x14ac:dyDescent="0.35">
      <c r="D7" s="7" t="s">
        <v>19</v>
      </c>
      <c r="E7" s="32">
        <f>SUMIF(Tabelle2151618[Kategorie],"Lebensmittel",Tabelle2151618[Betrag])</f>
        <v>0</v>
      </c>
    </row>
    <row r="8" spans="1:7" x14ac:dyDescent="0.35">
      <c r="D8" s="7" t="s">
        <v>20</v>
      </c>
      <c r="E8" s="32">
        <f>SUMIF(Tabelle2151618[Kategorie],"Versicherungen",Tabelle2151618[Betrag])</f>
        <v>0</v>
      </c>
      <c r="F8" s="16"/>
    </row>
    <row r="9" spans="1:7" x14ac:dyDescent="0.35">
      <c r="D9" s="7" t="s">
        <v>5</v>
      </c>
      <c r="E9" s="32">
        <f>SUMIF(Tabelle2151618[Kategorie],"Internet",Tabelle2151618[Betrag])</f>
        <v>0</v>
      </c>
      <c r="F9" s="16"/>
    </row>
    <row r="10" spans="1:7" x14ac:dyDescent="0.35">
      <c r="D10" s="7" t="s">
        <v>21</v>
      </c>
      <c r="E10" s="32">
        <f>SUMIF(Tabelle2151618[Kategorie],"Sonstige Ausgaben",Tabelle2151618[Betrag])</f>
        <v>0</v>
      </c>
      <c r="F10" s="16"/>
    </row>
    <row r="11" spans="1:7" x14ac:dyDescent="0.35">
      <c r="D11" s="7" t="s">
        <v>22</v>
      </c>
      <c r="E11" s="32">
        <f>SUMIF(Tabelle2151618[Kategorie],"Sonstige Einnahmen",Tabelle2151618[Betrag])</f>
        <v>0</v>
      </c>
    </row>
    <row r="12" spans="1:7" x14ac:dyDescent="0.35">
      <c r="D12" s="7" t="s">
        <v>23</v>
      </c>
      <c r="E12" s="32">
        <f>SUMIF(Tabelle2151618[Kategorie],"Handy",Tabelle2151618[Betrag])</f>
        <v>0</v>
      </c>
      <c r="F12" s="16"/>
    </row>
    <row r="13" spans="1:7" x14ac:dyDescent="0.35">
      <c r="D13" s="7" t="s">
        <v>24</v>
      </c>
      <c r="E13" s="32">
        <f>SUMIF(Tabelle2151618[Kategorie],"Miete",Tabelle2151618[Betrag])</f>
        <v>0</v>
      </c>
    </row>
    <row r="14" spans="1:7" x14ac:dyDescent="0.35">
      <c r="D14" s="7" t="s">
        <v>25</v>
      </c>
      <c r="E14" s="32">
        <f>SUMIF(Tabelle2151618[Kategorie],"Einkommen",Tabelle2151618[Betrag])</f>
        <v>0</v>
      </c>
      <c r="F14" s="16"/>
    </row>
    <row r="15" spans="1:7" x14ac:dyDescent="0.35">
      <c r="D15" s="7" t="s">
        <v>26</v>
      </c>
      <c r="E15" s="32">
        <f>SUMIF(Tabelle2151618[Kategorie],"Ersparnisse",Tabelle2151618[Betrag])</f>
        <v>0</v>
      </c>
      <c r="F15" s="16"/>
    </row>
    <row r="16" spans="1:7" x14ac:dyDescent="0.35">
      <c r="D16" s="7" t="s">
        <v>27</v>
      </c>
      <c r="E16" s="32">
        <f>SUMIF(Tabelle2151618[Kategorie],"Shoppen",Tabelle2151618[Betrag])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ohAd+44iJ7d6QGNBBg/3RBKdCyibyLNMIvdFNSQS+1W7zQrTHbfQ1s3ZLrUa+s+II1Yql62LMUqt15rP5zYotQ==" saltValue="cqR4OHLkqHR0I9bNNkvsR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31F49F-2D55-4543-B36C-0F5E16F60740}">
          <x14:formula1>
            <xm:f>Kategorien!$A$2:$A$49</xm:f>
          </x14:formula1>
          <xm:sqref>A4:A61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907A-BAB3-4CF9-A52B-9C960B3DDF0E}">
  <sheetPr>
    <tabColor rgb="FFFFC000"/>
  </sheetPr>
  <dimension ref="A1:J53"/>
  <sheetViews>
    <sheetView zoomScale="78" zoomScaleNormal="78" workbookViewId="0">
      <selection activeCell="F20" sqref="F20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0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SUMIF(Tabelle215161819[Kategorie],"Essen gehen",Tabelle215161819[Betrag])</f>
        <v>0</v>
      </c>
      <c r="F4" s="16"/>
      <c r="G4" s="16"/>
    </row>
    <row r="5" spans="1:7" x14ac:dyDescent="0.35">
      <c r="D5" s="7" t="s">
        <v>17</v>
      </c>
      <c r="E5" s="32">
        <f>SUMIF(Tabelle215161819[Kategorie],"Freizeit",Tabelle215161819[Betrag])</f>
        <v>0</v>
      </c>
      <c r="F5" s="16"/>
    </row>
    <row r="6" spans="1:7" x14ac:dyDescent="0.35">
      <c r="D6" s="7" t="s">
        <v>18</v>
      </c>
      <c r="E6" s="32">
        <f>SUMIF(Tabelle215161819[Kategorie],"Geschenke",Tabelle215161819[Betrag])</f>
        <v>0</v>
      </c>
    </row>
    <row r="7" spans="1:7" x14ac:dyDescent="0.35">
      <c r="D7" s="7" t="s">
        <v>19</v>
      </c>
      <c r="E7" s="32">
        <f>SUMIF(Tabelle215161819[Kategorie],"Lebensmittel",Tabelle215161819[Betrag])</f>
        <v>0</v>
      </c>
    </row>
    <row r="8" spans="1:7" x14ac:dyDescent="0.35">
      <c r="D8" s="7" t="s">
        <v>20</v>
      </c>
      <c r="E8" s="32">
        <f>SUMIF(Tabelle215161819[Kategorie],"Versicherungen",Tabelle215161819[Betrag])</f>
        <v>0</v>
      </c>
      <c r="F8" s="16"/>
    </row>
    <row r="9" spans="1:7" x14ac:dyDescent="0.35">
      <c r="D9" s="7" t="s">
        <v>5</v>
      </c>
      <c r="E9" s="32">
        <f>SUMIF(Tabelle215161819[Kategorie],"Internet",Tabelle215161819[Betrag])</f>
        <v>0</v>
      </c>
      <c r="F9" s="16"/>
    </row>
    <row r="10" spans="1:7" x14ac:dyDescent="0.35">
      <c r="D10" s="7" t="s">
        <v>21</v>
      </c>
      <c r="E10" s="32">
        <f>SUMIF(Tabelle215161819[Kategorie],"Sonstige Ausgaben",Tabelle215161819[Betrag])</f>
        <v>0</v>
      </c>
      <c r="F10" s="16"/>
    </row>
    <row r="11" spans="1:7" x14ac:dyDescent="0.35">
      <c r="D11" s="7" t="s">
        <v>22</v>
      </c>
      <c r="E11" s="32">
        <f>SUMIF(Tabelle215161819[Kategorie],"Sonstige Einnahmen",Tabelle215161819[Betrag])</f>
        <v>0</v>
      </c>
    </row>
    <row r="12" spans="1:7" x14ac:dyDescent="0.35">
      <c r="D12" s="7" t="s">
        <v>23</v>
      </c>
      <c r="E12" s="32">
        <f>SUMIF(Tabelle215161819[Kategorie],"Handy",Tabelle215161819[Betrag])</f>
        <v>0</v>
      </c>
      <c r="F12" s="16"/>
    </row>
    <row r="13" spans="1:7" x14ac:dyDescent="0.35">
      <c r="D13" s="7" t="s">
        <v>24</v>
      </c>
      <c r="E13" s="32">
        <f>SUMIF(Tabelle215161819[Kategorie],"Miete",Tabelle215161819[Betrag])</f>
        <v>0</v>
      </c>
    </row>
    <row r="14" spans="1:7" x14ac:dyDescent="0.35">
      <c r="D14" s="7" t="s">
        <v>25</v>
      </c>
      <c r="E14" s="32">
        <f>SUMIF(Tabelle215161819[Kategorie],"Einkommen",Tabelle215161819[Betrag])</f>
        <v>0</v>
      </c>
      <c r="F14" s="16"/>
    </row>
    <row r="15" spans="1:7" x14ac:dyDescent="0.35">
      <c r="D15" s="7" t="s">
        <v>26</v>
      </c>
      <c r="E15" s="32">
        <f>SUMIF(Tabelle215161819[Kategorie],"Ersparnisse",Tabelle215161819[Betrag])</f>
        <v>0</v>
      </c>
      <c r="F15" s="16"/>
    </row>
    <row r="16" spans="1:7" x14ac:dyDescent="0.35">
      <c r="D16" s="7" t="s">
        <v>27</v>
      </c>
      <c r="E16" s="32">
        <f>SUMIF(Tabelle215161819[Kategorie],"Shoppen",Tabelle215161819[Betrag])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oAUuiTEz16ESzm2sOLNB5BEYHnwWAfXI5VxJ6crKJfQq/9rT+FyId7wpee4J3EASeCewDusslxEpOxgkVAjBoA==" saltValue="FYuSMZaXcGvtvlmlOFX85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4C6FE4-7678-4293-9453-2CC61D9CDF8A}">
          <x14:formula1>
            <xm:f>Kategorien!$A$2:$A$49</xm:f>
          </x14:formula1>
          <xm:sqref>A4:A61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93E0-7034-413F-BFC7-A4D856EBAFE5}">
  <sheetPr>
    <tabColor rgb="FFFFC000"/>
  </sheetPr>
  <dimension ref="A1:J53"/>
  <sheetViews>
    <sheetView zoomScale="78" zoomScaleNormal="78" workbookViewId="0">
      <selection activeCell="G25" sqref="G25"/>
    </sheetView>
  </sheetViews>
  <sheetFormatPr baseColWidth="10" defaultRowHeight="14.5" x14ac:dyDescent="0.35"/>
  <cols>
    <col min="1" max="1" width="30.1796875" style="7" bestFit="1" customWidth="1"/>
    <col min="2" max="2" width="10.90625" style="29"/>
    <col min="3" max="3" width="17" style="7" bestFit="1" customWidth="1"/>
    <col min="4" max="16384" width="10.90625" style="7"/>
  </cols>
  <sheetData>
    <row r="1" spans="1:7" x14ac:dyDescent="0.35">
      <c r="A1" s="7" t="s">
        <v>11</v>
      </c>
    </row>
    <row r="3" spans="1:7" x14ac:dyDescent="0.35">
      <c r="A3" s="30" t="s">
        <v>28</v>
      </c>
      <c r="B3" s="31" t="s">
        <v>29</v>
      </c>
      <c r="C3" s="30" t="s">
        <v>30</v>
      </c>
      <c r="D3" s="7" t="s">
        <v>28</v>
      </c>
      <c r="E3" s="7" t="s">
        <v>29</v>
      </c>
    </row>
    <row r="4" spans="1:7" x14ac:dyDescent="0.35">
      <c r="D4" s="7" t="s">
        <v>15</v>
      </c>
      <c r="E4" s="32">
        <f>SUMIF(Tabelle21516181920[Kategorie],"Essen gehen",Tabelle21516181920[Betrag])</f>
        <v>0</v>
      </c>
      <c r="F4" s="16"/>
      <c r="G4" s="16"/>
    </row>
    <row r="5" spans="1:7" x14ac:dyDescent="0.35">
      <c r="D5" s="7" t="s">
        <v>17</v>
      </c>
      <c r="E5" s="32">
        <f>SUMIF(Tabelle21516181920[Kategorie],"Freizeit",Tabelle21516181920[Betrag])</f>
        <v>0</v>
      </c>
      <c r="F5" s="16"/>
    </row>
    <row r="6" spans="1:7" x14ac:dyDescent="0.35">
      <c r="D6" s="7" t="s">
        <v>18</v>
      </c>
      <c r="E6" s="32">
        <f>SUMIF(Tabelle21516181920[Kategorie],"Geschenke",Tabelle21516181920[Betrag])</f>
        <v>0</v>
      </c>
    </row>
    <row r="7" spans="1:7" x14ac:dyDescent="0.35">
      <c r="D7" s="7" t="s">
        <v>19</v>
      </c>
      <c r="E7" s="32">
        <f>SUMIF(Tabelle21516181920[Kategorie],"Lebensmittel",Tabelle21516181920[Betrag])</f>
        <v>0</v>
      </c>
    </row>
    <row r="8" spans="1:7" x14ac:dyDescent="0.35">
      <c r="D8" s="7" t="s">
        <v>20</v>
      </c>
      <c r="E8" s="32">
        <f>SUMIF(Tabelle21516181920[Kategorie],"Versicherungen",Tabelle21516181920[Betrag])</f>
        <v>0</v>
      </c>
      <c r="F8" s="16"/>
    </row>
    <row r="9" spans="1:7" x14ac:dyDescent="0.35">
      <c r="D9" s="7" t="s">
        <v>5</v>
      </c>
      <c r="E9" s="32">
        <f>SUMIF(Tabelle21516181920[Kategorie],"Internet",Tabelle21516181920[Betrag])</f>
        <v>0</v>
      </c>
      <c r="F9" s="16"/>
    </row>
    <row r="10" spans="1:7" x14ac:dyDescent="0.35">
      <c r="D10" s="7" t="s">
        <v>21</v>
      </c>
      <c r="E10" s="32">
        <f>SUMIF(Tabelle21516181920[Kategorie],"Sonstige Ausgaben",Tabelle21516181920[Betrag])</f>
        <v>0</v>
      </c>
      <c r="F10" s="16"/>
    </row>
    <row r="11" spans="1:7" x14ac:dyDescent="0.35">
      <c r="D11" s="7" t="s">
        <v>22</v>
      </c>
      <c r="E11" s="32">
        <f>SUMIF(Tabelle21516181920[Kategorie],"Sonstige Einnahmen",Tabelle21516181920[Betrag])</f>
        <v>0</v>
      </c>
    </row>
    <row r="12" spans="1:7" x14ac:dyDescent="0.35">
      <c r="D12" s="7" t="s">
        <v>23</v>
      </c>
      <c r="E12" s="32">
        <f>SUMIF(Tabelle21516181920[Kategorie],"Handy",Tabelle21516181920[Betrag])</f>
        <v>0</v>
      </c>
      <c r="F12" s="16"/>
    </row>
    <row r="13" spans="1:7" x14ac:dyDescent="0.35">
      <c r="D13" s="7" t="s">
        <v>24</v>
      </c>
      <c r="E13" s="32">
        <f>SUMIF(Tabelle21516181920[Kategorie],"Miete",Tabelle21516181920[Betrag])</f>
        <v>0</v>
      </c>
    </row>
    <row r="14" spans="1:7" x14ac:dyDescent="0.35">
      <c r="D14" s="7" t="s">
        <v>25</v>
      </c>
      <c r="E14" s="32">
        <f>SUMIF(Tabelle21516181920[Kategorie],"Einkommen",Tabelle21516181920[Betrag])</f>
        <v>0</v>
      </c>
      <c r="F14" s="16"/>
    </row>
    <row r="15" spans="1:7" x14ac:dyDescent="0.35">
      <c r="D15" s="7" t="s">
        <v>26</v>
      </c>
      <c r="E15" s="32">
        <f>SUMIF(Tabelle21516181920[Kategorie],"Ersparnisse",Tabelle21516181920[Betrag])</f>
        <v>0</v>
      </c>
      <c r="F15" s="16"/>
    </row>
    <row r="16" spans="1:7" x14ac:dyDescent="0.35">
      <c r="D16" s="7" t="s">
        <v>27</v>
      </c>
      <c r="E16" s="32">
        <f>SUMIF(Tabelle21516181920[Kategorie],"Shoppen",Tabelle21516181920[Betrag])</f>
        <v>0</v>
      </c>
      <c r="F16" s="16"/>
    </row>
    <row r="17" spans="5:6" x14ac:dyDescent="0.35">
      <c r="E17" s="16"/>
      <c r="F17" s="16"/>
    </row>
    <row r="18" spans="5:6" x14ac:dyDescent="0.35">
      <c r="E18" s="16"/>
      <c r="F18" s="16"/>
    </row>
    <row r="19" spans="5:6" x14ac:dyDescent="0.35">
      <c r="E19" s="16"/>
    </row>
    <row r="20" spans="5:6" x14ac:dyDescent="0.35">
      <c r="E20" s="16"/>
      <c r="F20" s="16"/>
    </row>
    <row r="33" spans="7:10" x14ac:dyDescent="0.35">
      <c r="J33" s="16"/>
    </row>
    <row r="34" spans="7:10" x14ac:dyDescent="0.35">
      <c r="G34" s="16"/>
      <c r="J34" s="16"/>
    </row>
    <row r="35" spans="7:10" x14ac:dyDescent="0.35">
      <c r="G35" s="16"/>
      <c r="J35" s="16"/>
    </row>
    <row r="36" spans="7:10" x14ac:dyDescent="0.35">
      <c r="G36" s="16"/>
      <c r="J36" s="16"/>
    </row>
    <row r="37" spans="7:10" x14ac:dyDescent="0.35">
      <c r="G37" s="16"/>
      <c r="J37" s="16"/>
    </row>
    <row r="38" spans="7:10" x14ac:dyDescent="0.35">
      <c r="G38" s="16"/>
      <c r="J38" s="16"/>
    </row>
    <row r="39" spans="7:10" x14ac:dyDescent="0.35">
      <c r="G39" s="16"/>
      <c r="J39" s="16"/>
    </row>
    <row r="40" spans="7:10" x14ac:dyDescent="0.35">
      <c r="G40" s="16"/>
      <c r="J40" s="16"/>
    </row>
    <row r="41" spans="7:10" x14ac:dyDescent="0.35">
      <c r="G41" s="16"/>
      <c r="J41" s="16"/>
    </row>
    <row r="42" spans="7:10" x14ac:dyDescent="0.35">
      <c r="G42" s="16"/>
      <c r="J42" s="16"/>
    </row>
    <row r="43" spans="7:10" x14ac:dyDescent="0.35">
      <c r="G43" s="16"/>
      <c r="J43" s="16"/>
    </row>
    <row r="44" spans="7:10" x14ac:dyDescent="0.35">
      <c r="G44" s="16"/>
      <c r="J44" s="16"/>
    </row>
    <row r="45" spans="7:10" x14ac:dyDescent="0.35">
      <c r="G45" s="16"/>
      <c r="J45" s="16"/>
    </row>
    <row r="46" spans="7:10" x14ac:dyDescent="0.35">
      <c r="G46" s="16"/>
      <c r="J46" s="16"/>
    </row>
    <row r="47" spans="7:10" x14ac:dyDescent="0.35">
      <c r="G47" s="16"/>
      <c r="J47" s="16"/>
    </row>
    <row r="48" spans="7:10" x14ac:dyDescent="0.35">
      <c r="G48" s="16"/>
      <c r="J48" s="16"/>
    </row>
    <row r="49" spans="7:7" x14ac:dyDescent="0.35">
      <c r="G49" s="16"/>
    </row>
    <row r="52" spans="7:7" x14ac:dyDescent="0.35">
      <c r="G52" s="16"/>
    </row>
    <row r="53" spans="7:7" x14ac:dyDescent="0.35">
      <c r="G53" s="16"/>
    </row>
  </sheetData>
  <sheetProtection algorithmName="SHA-512" hashValue="1qW3KqF2Aaco8rSyV3bL+nT/Ef0xAumprhZWu1amuxzAmtgdPC/IBsadxCkwTCdpejPMl15jsgIKdLQoB74suA==" saltValue="aZfPx+itqejtFu+zTpdSr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5F92F8-BF7E-4E94-8E71-05014D040B9B}">
          <x14:formula1>
            <xm:f>Kategorien!$A$2:$A$49</xm:f>
          </x14:formula1>
          <xm:sqref>A4:A61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Erklärungen</vt:lpstr>
      <vt:lpstr>Kategorien</vt:lpstr>
      <vt:lpstr>Plan</vt:lpstr>
      <vt:lpstr>Übersicht</vt:lpstr>
      <vt:lpstr>Jan</vt:lpstr>
      <vt:lpstr>Feb</vt:lpstr>
      <vt:lpstr>Mär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Karoline Steiner</cp:lastModifiedBy>
  <dcterms:created xsi:type="dcterms:W3CDTF">2023-01-20T19:16:20Z</dcterms:created>
  <dcterms:modified xsi:type="dcterms:W3CDTF">2026-05-30T13:23:42Z</dcterms:modified>
</cp:coreProperties>
</file>